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workbook.xml" ContentType="application/vnd.openxmlformats-officedocument.spreadsheetml.sheet.main+xml"/>
  <Override PartName="/xl/worksheets/sheet8.xml" ContentType="application/vnd.openxmlformats-officedocument.spreadsheetml.workshee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worksheets/sheet4.xml" ContentType="application/vnd.openxmlformats-officedocument.spreadsheetml.worksheet+xml"/>
  <Override PartName="/xl/charts/chart8.xml" ContentType="application/vnd.openxmlformats-officedocument.drawingml.chart+xml"/>
  <Override PartName="/xl/worksheets/sheet5.xml" ContentType="application/vnd.openxmlformats-officedocument.spreadsheetml.workshee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1.xml" ContentType="application/vnd.openxmlformats-officedocument.spreadsheetml.worksheet+xml"/>
  <Override PartName="/xl/worksheets/sheet39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7.xml" ContentType="application/vnd.openxmlformats-officedocument.spreadsheetml.worksheet+xml"/>
  <Override PartName="/xl/worksheets/sheet34.xml" ContentType="application/vnd.openxmlformats-officedocument.spreadsheetml.worksheet+xml"/>
  <Override PartName="/xl/worksheets/sheet40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6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worksheets/sheet25.xml" ContentType="application/vnd.openxmlformats-officedocument.spreadsheetml.worksheet+xml"/>
  <Override PartName="/xl/worksheets/sheet2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comments3.xml" ContentType="application/vnd.openxmlformats-officedocument.spreadsheetml.comments+xml"/>
  <Override PartName="/docProps/core.xml" ContentType="application/vnd.openxmlformats-package.core-properties+xml"/>
  <Override PartName="/xl/comments34.xml" ContentType="application/vnd.openxmlformats-officedocument.spreadsheetml.comments+xml"/>
  <Override PartName="/xl/comments14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xl/comments22.xml" ContentType="application/vnd.openxmlformats-officedocument.spreadsheetml.comments+xml"/>
  <Override PartName="/xl/comments11.xml" ContentType="application/vnd.openxmlformats-officedocument.spreadsheetml.comments+xml"/>
  <Override PartName="/xl/comments21.xml" ContentType="application/vnd.openxmlformats-officedocument.spreadsheetml.comments+xml"/>
  <Override PartName="/xl/comments23.xml" ContentType="application/vnd.openxmlformats-officedocument.spreadsheetml.comments+xml"/>
  <Override PartName="/xl/comments26.xml" ContentType="application/vnd.openxmlformats-officedocument.spreadsheetml.comments+xml"/>
  <Override PartName="/xl/comments25.xml" ContentType="application/vnd.openxmlformats-officedocument.spreadsheetml.comments+xml"/>
  <Override PartName="/xl/comments10.xml" ContentType="application/vnd.openxmlformats-officedocument.spreadsheetml.comments+xml"/>
  <Override PartName="/xl/comments24.xml" ContentType="application/vnd.openxmlformats-officedocument.spreadsheetml.comments+xml"/>
  <Override PartName="/xl/comments20.xml" ContentType="application/vnd.openxmlformats-officedocument.spreadsheetml.comments+xml"/>
  <Override PartName="/xl/comments19.xml" ContentType="application/vnd.openxmlformats-officedocument.spreadsheetml.comments+xml"/>
  <Override PartName="/xl/comments13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2.xml" ContentType="application/vnd.openxmlformats-officedocument.spreadsheetml.comments+xml"/>
  <Override PartName="/xl/comments18.xml" ContentType="application/vnd.openxmlformats-officedocument.spreadsheetml.comments+xml"/>
  <Override PartName="/xl/comments27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33.xml" ContentType="application/vnd.openxmlformats-officedocument.spreadsheetml.comments+xml"/>
  <Override PartName="/xl/comments29.xml" ContentType="application/vnd.openxmlformats-officedocument.spreadsheetml.comments+xml"/>
  <Override PartName="/xl/comments28.xml" ContentType="application/vnd.openxmlformats-officedocument.spreadsheetml.comments+xml"/>
  <Override PartName="/xl/comments9.xml" ContentType="application/vnd.openxmlformats-officedocument.spreadsheetml.comments+xml"/>
  <Override PartName="/xl/comments30.xml" ContentType="application/vnd.openxmlformats-officedocument.spreadsheetml.comments+xml"/>
  <Override PartName="/xl/comments32.xml" ContentType="application/vnd.openxmlformats-officedocument.spreadsheetml.comments+xml"/>
  <Override PartName="/xl/comments31.xml" ContentType="application/vnd.openxmlformats-officedocument.spreadsheetml.comments+xml"/>
  <Override PartName="/xl/comments8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9200" windowHeight="7340" tabRatio="772" firstSheet="1" activeTab="15"/>
  </bookViews>
  <sheets>
    <sheet name="PGA Graphs 2012-13" sheetId="13" state="hidden" r:id="rId1"/>
    <sheet name="JE" sheetId="18" r:id="rId2"/>
    <sheet name="Jan" sheetId="5" r:id="rId3"/>
    <sheet name="Feb" sheetId="19" r:id="rId4"/>
    <sheet name="Mar" sheetId="21" r:id="rId5"/>
    <sheet name="Apr" sheetId="20" r:id="rId6"/>
    <sheet name="May" sheetId="23" r:id="rId7"/>
    <sheet name="Jun" sheetId="22" r:id="rId8"/>
    <sheet name="Jul" sheetId="24" r:id="rId9"/>
    <sheet name="Aug" sheetId="25" r:id="rId10"/>
    <sheet name="Sep" sheetId="26" r:id="rId11"/>
    <sheet name="Oct" sheetId="27" r:id="rId12"/>
    <sheet name="Nov" sheetId="28" r:id="rId13"/>
    <sheet name="Dec" sheetId="29" r:id="rId14"/>
    <sheet name="WA - Def-Amtz" sheetId="16" r:id="rId15"/>
    <sheet name="ID - Def-Amtz " sheetId="17" r:id="rId16"/>
    <sheet name="WA - Def-Amtz 201510" sheetId="50" r:id="rId17"/>
    <sheet name="ID - Def-Amtz  201510" sheetId="49" r:id="rId18"/>
    <sheet name="WA - Def-Amtz 201509" sheetId="48" r:id="rId19"/>
    <sheet name="ID - Def-Amtz 201509" sheetId="47" r:id="rId20"/>
    <sheet name="WA - Def-Amtz 201508" sheetId="46" r:id="rId21"/>
    <sheet name="ID - Def-Amtz 201508" sheetId="45" r:id="rId22"/>
    <sheet name="WA - Def-Amtz 201507" sheetId="44" r:id="rId23"/>
    <sheet name="ID - Def-Amtz  201507" sheetId="43" r:id="rId24"/>
    <sheet name="WA - Def-Amtz 201506" sheetId="42" r:id="rId25"/>
    <sheet name="ID - Def-Amtz  201506" sheetId="41" r:id="rId26"/>
    <sheet name="WA - Def-Amtz 201505" sheetId="39" r:id="rId27"/>
    <sheet name="ID - Def-Amtz 201505" sheetId="40" r:id="rId28"/>
    <sheet name="WA - Def-Amtz 201504" sheetId="38" r:id="rId29"/>
    <sheet name="ID - Def-Amtz 201504" sheetId="37" r:id="rId30"/>
    <sheet name="WA - Def-Amtz Correction 201504" sheetId="36" r:id="rId31"/>
    <sheet name="ID-Def-Amtz Correction 201504" sheetId="35" r:id="rId32"/>
    <sheet name="ID - Def-Amtz Correction 201503" sheetId="32" r:id="rId33"/>
    <sheet name="WA - Def-Amtz 201503" sheetId="34" r:id="rId34"/>
    <sheet name="ID - Def-Amtz  201503" sheetId="33" r:id="rId35"/>
    <sheet name="PGA Graphs 2013-14" sheetId="30" r:id="rId36"/>
    <sheet name="Deferral Graphs 2013-14 " sheetId="15" r:id="rId37"/>
    <sheet name="ID Amort 191015" sheetId="14" state="hidden" r:id="rId38"/>
    <sheet name="ID Amort 191000" sheetId="7" state="hidden" r:id="rId39"/>
    <sheet name="WA Def 191010" sheetId="3" state="hidden" r:id="rId40"/>
    <sheet name="ID Def 191010" sheetId="6" state="hidden" r:id="rId41"/>
    <sheet name="ID Holdback 191015" sheetId="12" state="hidden" r:id="rId42"/>
    <sheet name="Amortization of JP Deferral" sheetId="9" state="hidden" r:id="rId43"/>
    <sheet name="WA Amort 191000" sheetId="10" state="hidden" r:id="rId44"/>
    <sheet name="Sheet1" sheetId="31" r:id="rId45"/>
  </sheets>
  <externalReferences>
    <externalReference r:id="rId46"/>
  </externalReferences>
  <definedNames>
    <definedName name="_xlnm.Print_Area" localSheetId="42">'Amortization of JP Deferral'!$A$1:$J$197</definedName>
    <definedName name="_xlnm.Print_Area" localSheetId="5">Apr!$A$1:$M$68</definedName>
    <definedName name="_xlnm.Print_Area" localSheetId="9">Aug!$A$1:$M$68</definedName>
    <definedName name="_xlnm.Print_Area" localSheetId="13">Dec!$A$1:$M$68</definedName>
    <definedName name="_xlnm.Print_Area" localSheetId="36">'Deferral Graphs 2013-14 '!$P$2:$X$53</definedName>
    <definedName name="_xlnm.Print_Area" localSheetId="3">Feb!$A$1:$M$68</definedName>
    <definedName name="_xlnm.Print_Area" localSheetId="15">'ID - Def-Amtz '!$A$1:$AM$85</definedName>
    <definedName name="_xlnm.Print_Area" localSheetId="34">'ID - Def-Amtz  201503'!$A$1:$AM$85</definedName>
    <definedName name="_xlnm.Print_Area" localSheetId="25">'ID - Def-Amtz  201506'!$A$1:$AM$85</definedName>
    <definedName name="_xlnm.Print_Area" localSheetId="23">'ID - Def-Amtz  201507'!$A$1:$AM$85</definedName>
    <definedName name="_xlnm.Print_Area" localSheetId="17">'ID - Def-Amtz  201510'!$A$1:$AM$85</definedName>
    <definedName name="_xlnm.Print_Area" localSheetId="29">'ID - Def-Amtz 201504'!$A$1:$AM$85</definedName>
    <definedName name="_xlnm.Print_Area" localSheetId="21">'ID - Def-Amtz 201508'!$A$1:$AM$85</definedName>
    <definedName name="_xlnm.Print_Area" localSheetId="19">'ID - Def-Amtz 201509'!$A$1:$AM$85</definedName>
    <definedName name="_xlnm.Print_Area" localSheetId="32">'ID - Def-Amtz Correction 201503'!$A$2:$AO$49</definedName>
    <definedName name="_xlnm.Print_Area" localSheetId="38">'ID Amort 191000'!$A$1:$J$300</definedName>
    <definedName name="_xlnm.Print_Area" localSheetId="37">'ID Amort 191015'!$A$1:$J$63</definedName>
    <definedName name="_xlnm.Print_Area" localSheetId="40">'ID Def 191010'!$A$1:$T$180</definedName>
    <definedName name="_xlnm.Print_Area" localSheetId="41">'ID Holdback 191015'!$A$1:$T$104</definedName>
    <definedName name="_xlnm.Print_Area" localSheetId="31">'ID-Def-Amtz Correction 201504'!$AS$39:$BA$60</definedName>
    <definedName name="_xlnm.Print_Area" localSheetId="2">Jan!$A$1:$M$68</definedName>
    <definedName name="_xlnm.Print_Area" localSheetId="1">JE!$A$1:$M$32</definedName>
    <definedName name="_xlnm.Print_Area" localSheetId="8">Jul!$A$1:$M$68</definedName>
    <definedName name="_xlnm.Print_Area" localSheetId="7">Jun!$A$1:$M$68</definedName>
    <definedName name="_xlnm.Print_Area" localSheetId="4">Mar!$A$1:$M$68</definedName>
    <definedName name="_xlnm.Print_Area" localSheetId="6">May!$A$1:$M$68</definedName>
    <definedName name="_xlnm.Print_Area" localSheetId="12">Nov!$A$1:$M$68</definedName>
    <definedName name="_xlnm.Print_Area" localSheetId="11">Oct!$A$1:$M$68</definedName>
    <definedName name="_xlnm.Print_Area" localSheetId="0">'PGA Graphs 2012-13'!$P$2:$X$53</definedName>
    <definedName name="_xlnm.Print_Area" localSheetId="35">'PGA Graphs 2013-14'!$A$1:$N$66</definedName>
    <definedName name="_xlnm.Print_Area" localSheetId="10">Sep!$A$1:$M$68</definedName>
    <definedName name="_xlnm.Print_Area" localSheetId="44">Sheet1!$A$1:$T$12</definedName>
    <definedName name="_xlnm.Print_Area" localSheetId="14">'WA - Def-Amtz'!$A$2:$AN$84</definedName>
    <definedName name="_xlnm.Print_Area" localSheetId="33">'WA - Def-Amtz 201503'!$A$2:$AN$80</definedName>
    <definedName name="_xlnm.Print_Area" localSheetId="28">'WA - Def-Amtz 201504'!$A$2:$AN$80</definedName>
    <definedName name="_xlnm.Print_Area" localSheetId="24">'WA - Def-Amtz 201506'!$A$2:$AN$80</definedName>
    <definedName name="_xlnm.Print_Area" localSheetId="22">'WA - Def-Amtz 201507'!$A$2:$AN$80</definedName>
    <definedName name="_xlnm.Print_Area" localSheetId="20">'WA - Def-Amtz 201508'!$A$2:$AN$80</definedName>
    <definedName name="_xlnm.Print_Area" localSheetId="18">'WA - Def-Amtz 201509'!$A$2:$AN$80</definedName>
    <definedName name="_xlnm.Print_Area" localSheetId="16">'WA - Def-Amtz 201510'!$A$2:$AN$84</definedName>
    <definedName name="_xlnm.Print_Area" localSheetId="30">'WA - Def-Amtz Correction 201504'!$AQ$1:$AZ$28</definedName>
    <definedName name="_xlnm.Print_Area" localSheetId="43">'WA Amort 191000'!$A$1:$J$310</definedName>
    <definedName name="_xlnm.Print_Area" localSheetId="39">'WA Def 191010'!$A$1:$R$143</definedName>
    <definedName name="_xlnm.Print_Titles" localSheetId="5">Apr!$1:$2</definedName>
    <definedName name="_xlnm.Print_Titles" localSheetId="9">Aug!$1:$2</definedName>
    <definedName name="_xlnm.Print_Titles" localSheetId="13">Dec!$1:$2</definedName>
    <definedName name="_xlnm.Print_Titles" localSheetId="3">Feb!$1:$2</definedName>
    <definedName name="_xlnm.Print_Titles" localSheetId="40">'ID Def 191010'!$1:$7</definedName>
    <definedName name="_xlnm.Print_Titles" localSheetId="41">'ID Holdback 191015'!$1:$7</definedName>
    <definedName name="_xlnm.Print_Titles" localSheetId="2">Jan!$1:$2</definedName>
    <definedName name="_xlnm.Print_Titles" localSheetId="8">Jul!$1:$2</definedName>
    <definedName name="_xlnm.Print_Titles" localSheetId="7">Jun!$1:$2</definedName>
    <definedName name="_xlnm.Print_Titles" localSheetId="4">Mar!$1:$2</definedName>
    <definedName name="_xlnm.Print_Titles" localSheetId="6">May!$1:$2</definedName>
    <definedName name="_xlnm.Print_Titles" localSheetId="12">Nov!$1:$2</definedName>
    <definedName name="_xlnm.Print_Titles" localSheetId="11">Oct!$1:$2</definedName>
    <definedName name="_xlnm.Print_Titles" localSheetId="10">Sep!$1:$2</definedName>
    <definedName name="_xlnm.Print_Titles" localSheetId="39">'WA Def 191010'!$1:$5</definedName>
  </definedNames>
  <calcPr calcId="152511"/>
</workbook>
</file>

<file path=xl/calcChain.xml><?xml version="1.0" encoding="utf-8"?>
<calcChain xmlns="http://schemas.openxmlformats.org/spreadsheetml/2006/main">
  <c r="AE56" i="16" l="1"/>
  <c r="AE20" i="16"/>
  <c r="G38" i="28" l="1"/>
  <c r="C6" i="28" l="1"/>
  <c r="C53" i="28"/>
  <c r="C44" i="28"/>
  <c r="C5" i="28"/>
  <c r="C33" i="28" s="1"/>
  <c r="C52" i="28" s="1"/>
  <c r="C15" i="28"/>
  <c r="C12" i="28"/>
  <c r="C18" i="28"/>
  <c r="C21" i="28"/>
  <c r="AL45" i="16"/>
  <c r="AL9" i="16"/>
  <c r="AL46" i="17"/>
  <c r="AM47" i="17" s="1"/>
  <c r="AL9" i="17" l="1"/>
  <c r="D29" i="16"/>
  <c r="C81" i="50" l="1"/>
  <c r="F80" i="50"/>
  <c r="E80" i="50"/>
  <c r="E82" i="50" s="1"/>
  <c r="D80" i="50"/>
  <c r="V79" i="50"/>
  <c r="W78" i="50"/>
  <c r="X78" i="50" s="1"/>
  <c r="V78" i="50"/>
  <c r="F78" i="50"/>
  <c r="G78" i="50" s="1"/>
  <c r="H78" i="50" s="1"/>
  <c r="AH75" i="50"/>
  <c r="V67" i="50"/>
  <c r="W67" i="50" s="1"/>
  <c r="X67" i="50" s="1"/>
  <c r="Y67" i="50" s="1"/>
  <c r="Z67" i="50" s="1"/>
  <c r="AA67" i="50" s="1"/>
  <c r="AB67" i="50" s="1"/>
  <c r="AC67" i="50" s="1"/>
  <c r="AD67" i="50" s="1"/>
  <c r="AE67" i="50" s="1"/>
  <c r="AF67" i="50" s="1"/>
  <c r="F67" i="50"/>
  <c r="G67" i="50" s="1"/>
  <c r="H67" i="50" s="1"/>
  <c r="W65" i="50"/>
  <c r="C65" i="50" s="1"/>
  <c r="D65" i="50"/>
  <c r="H64" i="50"/>
  <c r="G64" i="50"/>
  <c r="D64" i="50" s="1"/>
  <c r="F64" i="50"/>
  <c r="E64" i="50"/>
  <c r="AF63" i="50"/>
  <c r="AE63" i="50"/>
  <c r="AD63" i="50"/>
  <c r="AC63" i="50"/>
  <c r="AB63" i="50"/>
  <c r="AA63" i="50"/>
  <c r="Z63" i="50"/>
  <c r="Y63" i="50"/>
  <c r="X63" i="50"/>
  <c r="W63" i="50"/>
  <c r="V63" i="50"/>
  <c r="D63" i="50"/>
  <c r="AF62" i="50"/>
  <c r="AE62" i="50"/>
  <c r="AD62" i="50"/>
  <c r="AC62" i="50"/>
  <c r="AB62" i="50"/>
  <c r="AA62" i="50"/>
  <c r="Z62" i="50"/>
  <c r="Y62" i="50"/>
  <c r="X62" i="50"/>
  <c r="W62" i="50"/>
  <c r="V62" i="50"/>
  <c r="C62" i="50" s="1"/>
  <c r="D62" i="50"/>
  <c r="AF61" i="50"/>
  <c r="AE61" i="50"/>
  <c r="AD61" i="50"/>
  <c r="AC61" i="50"/>
  <c r="AB61" i="50"/>
  <c r="AA61" i="50"/>
  <c r="Z61" i="50"/>
  <c r="Y61" i="50"/>
  <c r="X61" i="50"/>
  <c r="W61" i="50"/>
  <c r="V61" i="50"/>
  <c r="C61" i="50" s="1"/>
  <c r="D61" i="50"/>
  <c r="AF60" i="50"/>
  <c r="AE60" i="50"/>
  <c r="AD60" i="50"/>
  <c r="AC60" i="50"/>
  <c r="AB60" i="50"/>
  <c r="AA60" i="50"/>
  <c r="Z60" i="50"/>
  <c r="Y60" i="50"/>
  <c r="X60" i="50"/>
  <c r="W60" i="50"/>
  <c r="V60" i="50"/>
  <c r="C60" i="50" s="1"/>
  <c r="D60" i="50"/>
  <c r="AF59" i="50"/>
  <c r="AE59" i="50"/>
  <c r="AD59" i="50"/>
  <c r="AC59" i="50"/>
  <c r="AB59" i="50"/>
  <c r="AA59" i="50"/>
  <c r="Z59" i="50"/>
  <c r="Y59" i="50"/>
  <c r="X59" i="50"/>
  <c r="W59" i="50"/>
  <c r="V59" i="50"/>
  <c r="D59" i="50"/>
  <c r="AF58" i="50"/>
  <c r="AE58" i="50"/>
  <c r="AD58" i="50"/>
  <c r="AC58" i="50"/>
  <c r="AB58" i="50"/>
  <c r="AA58" i="50"/>
  <c r="Z58" i="50"/>
  <c r="Y58" i="50"/>
  <c r="X58" i="50"/>
  <c r="W58" i="50"/>
  <c r="V58" i="50"/>
  <c r="D58" i="50"/>
  <c r="AF57" i="50"/>
  <c r="AE57" i="50"/>
  <c r="AD57" i="50"/>
  <c r="AC57" i="50"/>
  <c r="AB57" i="50"/>
  <c r="AA57" i="50"/>
  <c r="Z57" i="50"/>
  <c r="Y57" i="50"/>
  <c r="X57" i="50"/>
  <c r="W57" i="50"/>
  <c r="V57" i="50"/>
  <c r="D57" i="50"/>
  <c r="AD56" i="50"/>
  <c r="AD80" i="50" s="1"/>
  <c r="AF55" i="50"/>
  <c r="AE55" i="50"/>
  <c r="AD55" i="50"/>
  <c r="AC55" i="50"/>
  <c r="AC80" i="50" s="1"/>
  <c r="AB55" i="50"/>
  <c r="AB80" i="50" s="1"/>
  <c r="AA55" i="50"/>
  <c r="Z55" i="50"/>
  <c r="Y55" i="50"/>
  <c r="Y80" i="50" s="1"/>
  <c r="X55" i="50"/>
  <c r="X80" i="50" s="1"/>
  <c r="W55" i="50"/>
  <c r="V55" i="50"/>
  <c r="D55" i="50"/>
  <c r="V54" i="50"/>
  <c r="W54" i="50" s="1"/>
  <c r="X54" i="50" s="1"/>
  <c r="Y54" i="50" s="1"/>
  <c r="Z54" i="50" s="1"/>
  <c r="AA54" i="50" s="1"/>
  <c r="AB54" i="50" s="1"/>
  <c r="AC54" i="50" s="1"/>
  <c r="AD54" i="50" s="1"/>
  <c r="AE54" i="50" s="1"/>
  <c r="AF54" i="50" s="1"/>
  <c r="F54" i="50"/>
  <c r="G54" i="50" s="1"/>
  <c r="H54" i="50" s="1"/>
  <c r="V83" i="50"/>
  <c r="F83" i="50"/>
  <c r="X83" i="50"/>
  <c r="E50" i="50"/>
  <c r="E83" i="50"/>
  <c r="W83" i="50"/>
  <c r="H83" i="50"/>
  <c r="G83" i="50"/>
  <c r="W80" i="50" l="1"/>
  <c r="AA64" i="50"/>
  <c r="V64" i="50"/>
  <c r="Z64" i="50"/>
  <c r="AD64" i="50"/>
  <c r="X64" i="50"/>
  <c r="AB64" i="50"/>
  <c r="AF64" i="50"/>
  <c r="Z80" i="50"/>
  <c r="C63" i="50"/>
  <c r="C57" i="50"/>
  <c r="C58" i="50"/>
  <c r="C59" i="50"/>
  <c r="AE64" i="50"/>
  <c r="E84" i="50"/>
  <c r="AA80" i="50"/>
  <c r="C55" i="50"/>
  <c r="W64" i="50"/>
  <c r="V80" i="50"/>
  <c r="Y64" i="50"/>
  <c r="AC64" i="50"/>
  <c r="Y78" i="50"/>
  <c r="F79" i="50"/>
  <c r="F82" i="50" s="1"/>
  <c r="AF48" i="50"/>
  <c r="C48" i="50" s="1"/>
  <c r="AE47" i="50"/>
  <c r="C47" i="50" s="1"/>
  <c r="AM46" i="50"/>
  <c r="AL46" i="50"/>
  <c r="AK46" i="50"/>
  <c r="AJ46" i="50"/>
  <c r="AI46" i="50"/>
  <c r="AH46" i="50"/>
  <c r="AK45" i="50"/>
  <c r="AJ45" i="50"/>
  <c r="AI45" i="50"/>
  <c r="F45" i="50"/>
  <c r="E45" i="50"/>
  <c r="D45" i="50"/>
  <c r="V44" i="50"/>
  <c r="V42" i="50"/>
  <c r="W42" i="50" s="1"/>
  <c r="F42" i="50"/>
  <c r="AH40" i="50"/>
  <c r="V31" i="50"/>
  <c r="W31" i="50" s="1"/>
  <c r="X31" i="50" s="1"/>
  <c r="Y31" i="50" s="1"/>
  <c r="Z31" i="50" s="1"/>
  <c r="AA31" i="50" s="1"/>
  <c r="AB31" i="50" s="1"/>
  <c r="AC31" i="50" s="1"/>
  <c r="AD31" i="50" s="1"/>
  <c r="AE31" i="50" s="1"/>
  <c r="AF31" i="50" s="1"/>
  <c r="F31" i="50"/>
  <c r="G31" i="50" s="1"/>
  <c r="H31" i="50" s="1"/>
  <c r="D29" i="50"/>
  <c r="C29" i="50"/>
  <c r="H28" i="50"/>
  <c r="G28" i="50"/>
  <c r="F28" i="50"/>
  <c r="E28" i="50"/>
  <c r="D28" i="50"/>
  <c r="AF27" i="50"/>
  <c r="AE27" i="50"/>
  <c r="AD27" i="50"/>
  <c r="AC27" i="50"/>
  <c r="AB27" i="50"/>
  <c r="AA27" i="50"/>
  <c r="Z27" i="50"/>
  <c r="Y27" i="50"/>
  <c r="X27" i="50"/>
  <c r="W27" i="50"/>
  <c r="V27" i="50"/>
  <c r="D27" i="50"/>
  <c r="D26" i="50"/>
  <c r="C26" i="50"/>
  <c r="AF25" i="50"/>
  <c r="AE25" i="50"/>
  <c r="AD25" i="50"/>
  <c r="AC25" i="50"/>
  <c r="AB25" i="50"/>
  <c r="AA25" i="50"/>
  <c r="Z25" i="50"/>
  <c r="Y25" i="50"/>
  <c r="X25" i="50"/>
  <c r="W25" i="50"/>
  <c r="V25" i="50"/>
  <c r="D25" i="50"/>
  <c r="D24" i="50"/>
  <c r="C24" i="50"/>
  <c r="AF23" i="50"/>
  <c r="AE23" i="50"/>
  <c r="AD23" i="50"/>
  <c r="AC23" i="50"/>
  <c r="AB23" i="50"/>
  <c r="AA23" i="50"/>
  <c r="Z23" i="50"/>
  <c r="Y23" i="50"/>
  <c r="X23" i="50"/>
  <c r="W23" i="50"/>
  <c r="V23" i="50"/>
  <c r="D23" i="50"/>
  <c r="D22" i="50"/>
  <c r="C22" i="50"/>
  <c r="AF21" i="50"/>
  <c r="AE21" i="50"/>
  <c r="AD21" i="50"/>
  <c r="AC21" i="50"/>
  <c r="AB21" i="50"/>
  <c r="AA21" i="50"/>
  <c r="Z21" i="50"/>
  <c r="Y21" i="50"/>
  <c r="X21" i="50"/>
  <c r="W21" i="50"/>
  <c r="V21" i="50"/>
  <c r="D21" i="50"/>
  <c r="AD20" i="50"/>
  <c r="AF19" i="50"/>
  <c r="AF28" i="50" s="1"/>
  <c r="AE19" i="50"/>
  <c r="AD19" i="50"/>
  <c r="AC19" i="50"/>
  <c r="AC28" i="50" s="1"/>
  <c r="AB19" i="50"/>
  <c r="AB28" i="50" s="1"/>
  <c r="AA19" i="50"/>
  <c r="Z19" i="50"/>
  <c r="Y19" i="50"/>
  <c r="Y28" i="50" s="1"/>
  <c r="X19" i="50"/>
  <c r="X28" i="50" s="1"/>
  <c r="W19" i="50"/>
  <c r="W45" i="50" s="1"/>
  <c r="V19" i="50"/>
  <c r="D19" i="50"/>
  <c r="W18" i="50"/>
  <c r="X18" i="50" s="1"/>
  <c r="Y18" i="50" s="1"/>
  <c r="Z18" i="50" s="1"/>
  <c r="AA18" i="50" s="1"/>
  <c r="AB18" i="50" s="1"/>
  <c r="AC18" i="50" s="1"/>
  <c r="AD18" i="50" s="1"/>
  <c r="AE18" i="50" s="1"/>
  <c r="AF18" i="50" s="1"/>
  <c r="V18" i="50"/>
  <c r="G18" i="50"/>
  <c r="H18" i="50" s="1"/>
  <c r="F18" i="50"/>
  <c r="F50" i="50"/>
  <c r="V50" i="50"/>
  <c r="Y83" i="50"/>
  <c r="E14" i="50"/>
  <c r="W50" i="50"/>
  <c r="X45" i="50" l="1"/>
  <c r="AB45" i="50"/>
  <c r="V45" i="50"/>
  <c r="Z28" i="50"/>
  <c r="AD45" i="50"/>
  <c r="AC45" i="50"/>
  <c r="C27" i="50"/>
  <c r="C80" i="50"/>
  <c r="C82" i="50" s="1"/>
  <c r="AA45" i="50"/>
  <c r="C64" i="50"/>
  <c r="AE28" i="50"/>
  <c r="C25" i="50"/>
  <c r="C21" i="50"/>
  <c r="C23" i="50"/>
  <c r="Z78" i="50"/>
  <c r="W28" i="50"/>
  <c r="Y45" i="50"/>
  <c r="C45" i="50" s="1"/>
  <c r="V28" i="50"/>
  <c r="AD28" i="50"/>
  <c r="E46" i="50"/>
  <c r="E49" i="50" s="1"/>
  <c r="V46" i="50"/>
  <c r="V82" i="50"/>
  <c r="C19" i="50"/>
  <c r="G42" i="50"/>
  <c r="X42" i="50"/>
  <c r="Z45" i="50"/>
  <c r="F84" i="50"/>
  <c r="G79" i="50"/>
  <c r="G82" i="50" s="1"/>
  <c r="AA28" i="50"/>
  <c r="C12" i="50"/>
  <c r="C11" i="50"/>
  <c r="AM10" i="50"/>
  <c r="AK10" i="50"/>
  <c r="AJ10" i="50"/>
  <c r="AI10" i="50"/>
  <c r="AH10" i="50"/>
  <c r="C10" i="50"/>
  <c r="C9" i="50"/>
  <c r="E8" i="50"/>
  <c r="E13" i="50" s="1"/>
  <c r="D7" i="50"/>
  <c r="D6" i="50"/>
  <c r="V3" i="50"/>
  <c r="F3" i="50"/>
  <c r="G3" i="50" s="1"/>
  <c r="H3" i="50" s="1"/>
  <c r="C78" i="49"/>
  <c r="F77" i="49"/>
  <c r="H76" i="49"/>
  <c r="D76" i="49" s="1"/>
  <c r="E76" i="49"/>
  <c r="E77" i="49" s="1"/>
  <c r="AL75" i="49"/>
  <c r="V75" i="49"/>
  <c r="V79" i="49" s="1"/>
  <c r="AH74" i="49"/>
  <c r="V73" i="49"/>
  <c r="F73" i="49"/>
  <c r="G73" i="49" s="1"/>
  <c r="H73" i="49" s="1"/>
  <c r="V63" i="49"/>
  <c r="W63" i="49" s="1"/>
  <c r="X63" i="49" s="1"/>
  <c r="Y63" i="49" s="1"/>
  <c r="Z63" i="49" s="1"/>
  <c r="AA63" i="49" s="1"/>
  <c r="AB63" i="49" s="1"/>
  <c r="AC63" i="49" s="1"/>
  <c r="AD63" i="49" s="1"/>
  <c r="AE63" i="49" s="1"/>
  <c r="AF63" i="49" s="1"/>
  <c r="G63" i="49"/>
  <c r="H63" i="49" s="1"/>
  <c r="F63" i="49"/>
  <c r="W61" i="49"/>
  <c r="D61" i="49"/>
  <c r="C61" i="49"/>
  <c r="H60" i="49"/>
  <c r="G60" i="49"/>
  <c r="F60" i="49"/>
  <c r="D60" i="49"/>
  <c r="D59" i="49"/>
  <c r="C59" i="49"/>
  <c r="AG58" i="49"/>
  <c r="AF58" i="49"/>
  <c r="AE58" i="49"/>
  <c r="AD58" i="49"/>
  <c r="AC58" i="49"/>
  <c r="AB58" i="49"/>
  <c r="AA58" i="49"/>
  <c r="Z58" i="49"/>
  <c r="Y58" i="49"/>
  <c r="X58" i="49"/>
  <c r="W58" i="49"/>
  <c r="V58" i="49"/>
  <c r="U58" i="49"/>
  <c r="D58" i="49"/>
  <c r="D57" i="49"/>
  <c r="C57" i="49"/>
  <c r="D56" i="49"/>
  <c r="C56" i="49"/>
  <c r="D55" i="49"/>
  <c r="D54" i="49"/>
  <c r="D53" i="49"/>
  <c r="D52" i="49"/>
  <c r="W51" i="49"/>
  <c r="X51" i="49" s="1"/>
  <c r="Y51" i="49" s="1"/>
  <c r="Z51" i="49" s="1"/>
  <c r="AA51" i="49" s="1"/>
  <c r="AB51" i="49" s="1"/>
  <c r="AC51" i="49" s="1"/>
  <c r="AD51" i="49" s="1"/>
  <c r="AE51" i="49" s="1"/>
  <c r="AF51" i="49" s="1"/>
  <c r="V51" i="49"/>
  <c r="F51" i="49"/>
  <c r="G51" i="49" s="1"/>
  <c r="H51" i="49" s="1"/>
  <c r="AG49" i="49"/>
  <c r="V14" i="50"/>
  <c r="F14" i="50"/>
  <c r="G14" i="50"/>
  <c r="S48" i="49"/>
  <c r="E48" i="49"/>
  <c r="U48" i="49"/>
  <c r="G50" i="50"/>
  <c r="V80" i="49"/>
  <c r="H14" i="50"/>
  <c r="X50" i="50"/>
  <c r="Z83" i="50"/>
  <c r="T48" i="49"/>
  <c r="C28" i="50" l="1"/>
  <c r="C58" i="49"/>
  <c r="E51" i="50"/>
  <c r="F44" i="50"/>
  <c r="E15" i="50"/>
  <c r="F5" i="50"/>
  <c r="AA78" i="50"/>
  <c r="H42" i="50"/>
  <c r="G84" i="50"/>
  <c r="H79" i="50"/>
  <c r="H82" i="50" s="1"/>
  <c r="H84" i="50" s="1"/>
  <c r="Y42" i="50"/>
  <c r="V84" i="50"/>
  <c r="W79" i="50"/>
  <c r="W82" i="50" s="1"/>
  <c r="W3" i="50"/>
  <c r="V49" i="50"/>
  <c r="V81" i="49"/>
  <c r="W75" i="49"/>
  <c r="H77" i="49"/>
  <c r="D77" i="49" s="1"/>
  <c r="W73" i="49"/>
  <c r="AK47" i="49"/>
  <c r="AJ47" i="49"/>
  <c r="AI47" i="49"/>
  <c r="AH47" i="49"/>
  <c r="AK46" i="49"/>
  <c r="AJ46" i="49"/>
  <c r="AI46" i="49"/>
  <c r="AF46" i="49"/>
  <c r="C46" i="49" s="1"/>
  <c r="T46" i="49"/>
  <c r="AE45" i="49"/>
  <c r="C45" i="49" s="1"/>
  <c r="S44" i="49"/>
  <c r="S47" i="49" s="1"/>
  <c r="H43" i="49"/>
  <c r="D43" i="49" s="1"/>
  <c r="E43" i="49"/>
  <c r="AH41" i="49"/>
  <c r="V40" i="49"/>
  <c r="W40" i="49" s="1"/>
  <c r="X40" i="49" s="1"/>
  <c r="F40" i="49"/>
  <c r="V30" i="49"/>
  <c r="W30" i="49" s="1"/>
  <c r="X30" i="49" s="1"/>
  <c r="Y30" i="49" s="1"/>
  <c r="Z30" i="49" s="1"/>
  <c r="AA30" i="49" s="1"/>
  <c r="AB30" i="49" s="1"/>
  <c r="AC30" i="49" s="1"/>
  <c r="AD30" i="49" s="1"/>
  <c r="AE30" i="49" s="1"/>
  <c r="AF30" i="49" s="1"/>
  <c r="G30" i="49"/>
  <c r="H30" i="49" s="1"/>
  <c r="F30" i="49"/>
  <c r="D28" i="49"/>
  <c r="C28" i="49"/>
  <c r="H27" i="49"/>
  <c r="G27" i="49"/>
  <c r="D27" i="49" s="1"/>
  <c r="E27" i="49"/>
  <c r="D26" i="49"/>
  <c r="C26" i="49"/>
  <c r="D25" i="49"/>
  <c r="C25" i="49"/>
  <c r="AF24" i="49"/>
  <c r="AE24" i="49"/>
  <c r="AD24" i="49"/>
  <c r="AC24" i="49"/>
  <c r="AB24" i="49"/>
  <c r="AA24" i="49"/>
  <c r="Z24" i="49"/>
  <c r="Y24" i="49"/>
  <c r="X24" i="49"/>
  <c r="W24" i="49"/>
  <c r="V24" i="49"/>
  <c r="U24" i="49"/>
  <c r="D24" i="49"/>
  <c r="D23" i="49"/>
  <c r="C23" i="49"/>
  <c r="D22" i="49"/>
  <c r="C22" i="49"/>
  <c r="D21" i="49"/>
  <c r="C21" i="49"/>
  <c r="D20" i="49"/>
  <c r="D19" i="49"/>
  <c r="V18" i="49"/>
  <c r="W18" i="49" s="1"/>
  <c r="X18" i="49" s="1"/>
  <c r="Y18" i="49" s="1"/>
  <c r="Z18" i="49" s="1"/>
  <c r="AA18" i="49" s="1"/>
  <c r="AB18" i="49" s="1"/>
  <c r="AC18" i="49" s="1"/>
  <c r="AD18" i="49" s="1"/>
  <c r="AE18" i="49" s="1"/>
  <c r="AF18" i="49" s="1"/>
  <c r="F18" i="49"/>
  <c r="G18" i="49" s="1"/>
  <c r="H18" i="49" s="1"/>
  <c r="V48" i="49"/>
  <c r="T14" i="49"/>
  <c r="S14" i="49"/>
  <c r="X48" i="49"/>
  <c r="W14" i="50"/>
  <c r="E14" i="49"/>
  <c r="W48" i="49"/>
  <c r="F48" i="49"/>
  <c r="W80" i="49"/>
  <c r="H50" i="50"/>
  <c r="AA83" i="50"/>
  <c r="Y50" i="50"/>
  <c r="U14" i="49"/>
  <c r="S49" i="49" l="1"/>
  <c r="T42" i="49"/>
  <c r="T47" i="49" s="1"/>
  <c r="C24" i="49"/>
  <c r="X3" i="50"/>
  <c r="V51" i="50"/>
  <c r="W44" i="50"/>
  <c r="Z42" i="50"/>
  <c r="F46" i="50"/>
  <c r="F49" i="50" s="1"/>
  <c r="W84" i="50"/>
  <c r="X79" i="50"/>
  <c r="X82" i="50" s="1"/>
  <c r="AB78" i="50"/>
  <c r="F8" i="50"/>
  <c r="F13" i="50" s="1"/>
  <c r="Y40" i="49"/>
  <c r="W79" i="49"/>
  <c r="W77" i="49"/>
  <c r="G40" i="49"/>
  <c r="X73" i="49"/>
  <c r="S13" i="49"/>
  <c r="S15" i="49" s="1"/>
  <c r="C12" i="49"/>
  <c r="C11" i="49"/>
  <c r="AM10" i="49"/>
  <c r="AK10" i="49"/>
  <c r="AJ10" i="49"/>
  <c r="AI10" i="49"/>
  <c r="AH10" i="49"/>
  <c r="C10" i="49"/>
  <c r="C9" i="49"/>
  <c r="E8" i="49"/>
  <c r="E13" i="49" s="1"/>
  <c r="D7" i="49"/>
  <c r="D6" i="49"/>
  <c r="T5" i="49"/>
  <c r="T13" i="49" s="1"/>
  <c r="V3" i="49"/>
  <c r="W3" i="49" s="1"/>
  <c r="F3" i="49"/>
  <c r="F14" i="49"/>
  <c r="AB83" i="50"/>
  <c r="W14" i="49"/>
  <c r="X80" i="49"/>
  <c r="Y48" i="49"/>
  <c r="X14" i="50"/>
  <c r="Z50" i="50"/>
  <c r="G48" i="49"/>
  <c r="V14" i="49"/>
  <c r="T15" i="49" l="1"/>
  <c r="U5" i="49"/>
  <c r="T49" i="49"/>
  <c r="U42" i="49"/>
  <c r="U47" i="49" s="1"/>
  <c r="F15" i="50"/>
  <c r="G5" i="50"/>
  <c r="F51" i="50"/>
  <c r="G44" i="50"/>
  <c r="W46" i="50"/>
  <c r="AC78" i="50"/>
  <c r="AA42" i="50"/>
  <c r="Y3" i="50"/>
  <c r="X84" i="50"/>
  <c r="Y79" i="50"/>
  <c r="Y82" i="50" s="1"/>
  <c r="E15" i="49"/>
  <c r="F5" i="49"/>
  <c r="H40" i="49"/>
  <c r="W81" i="49"/>
  <c r="X75" i="49"/>
  <c r="Z40" i="49"/>
  <c r="Y73" i="49"/>
  <c r="G3" i="49"/>
  <c r="X3" i="49"/>
  <c r="G33" i="27"/>
  <c r="G38" i="27"/>
  <c r="Y14" i="50"/>
  <c r="X14" i="49"/>
  <c r="AA50" i="50"/>
  <c r="AC83" i="50"/>
  <c r="H48" i="49"/>
  <c r="G14" i="49"/>
  <c r="Z48" i="49"/>
  <c r="Y80" i="49"/>
  <c r="U49" i="49" l="1"/>
  <c r="V42" i="49"/>
  <c r="Y84" i="50"/>
  <c r="Z79" i="50"/>
  <c r="Z82" i="50" s="1"/>
  <c r="AB42" i="50"/>
  <c r="W49" i="50"/>
  <c r="Z3" i="50"/>
  <c r="AD78" i="50"/>
  <c r="G46" i="50"/>
  <c r="G8" i="50"/>
  <c r="G13" i="50" s="1"/>
  <c r="X79" i="49"/>
  <c r="X77" i="49"/>
  <c r="AA40" i="49"/>
  <c r="F8" i="49"/>
  <c r="F13" i="49"/>
  <c r="H3" i="49"/>
  <c r="Z73" i="49"/>
  <c r="Y3" i="49"/>
  <c r="C53" i="27"/>
  <c r="C44" i="27"/>
  <c r="C6" i="27"/>
  <c r="C5" i="27"/>
  <c r="C21" i="27"/>
  <c r="C18" i="27"/>
  <c r="C15" i="27"/>
  <c r="C12" i="27"/>
  <c r="H14" i="49"/>
  <c r="AD83" i="50"/>
  <c r="AA48" i="49"/>
  <c r="AB50" i="50"/>
  <c r="Z80" i="49"/>
  <c r="Y14" i="49"/>
  <c r="Z14" i="50"/>
  <c r="Z84" i="50" l="1"/>
  <c r="AA79" i="50"/>
  <c r="AA82" i="50" s="1"/>
  <c r="AE78" i="50"/>
  <c r="AC42" i="50"/>
  <c r="W51" i="50"/>
  <c r="X44" i="50"/>
  <c r="G15" i="50"/>
  <c r="H5" i="50"/>
  <c r="AA3" i="50"/>
  <c r="G49" i="50"/>
  <c r="AA73" i="49"/>
  <c r="F15" i="49"/>
  <c r="G5" i="49"/>
  <c r="X81" i="49"/>
  <c r="Y75" i="49"/>
  <c r="Z3" i="49"/>
  <c r="AB40" i="49"/>
  <c r="C4" i="27"/>
  <c r="AD56" i="16"/>
  <c r="AD20" i="16"/>
  <c r="AE83" i="50"/>
  <c r="AB48" i="49"/>
  <c r="AC50" i="50"/>
  <c r="Z14" i="49"/>
  <c r="AA14" i="50"/>
  <c r="AA80" i="49"/>
  <c r="C20" i="16" l="1"/>
  <c r="D20" i="16"/>
  <c r="C56" i="16"/>
  <c r="D56" i="16"/>
  <c r="X46" i="50"/>
  <c r="X49" i="50"/>
  <c r="AD42" i="50"/>
  <c r="AA84" i="50"/>
  <c r="AB79" i="50"/>
  <c r="AB82" i="50" s="1"/>
  <c r="H8" i="50"/>
  <c r="D8" i="50" s="1"/>
  <c r="AF78" i="50"/>
  <c r="G51" i="50"/>
  <c r="H44" i="50"/>
  <c r="AB3" i="50"/>
  <c r="AL77" i="50"/>
  <c r="AC40" i="49"/>
  <c r="AA3" i="49"/>
  <c r="AB73" i="49"/>
  <c r="Y79" i="49"/>
  <c r="Y77" i="49"/>
  <c r="G8" i="49"/>
  <c r="G13" i="49" s="1"/>
  <c r="I38" i="27"/>
  <c r="I24" i="27"/>
  <c r="C77" i="48"/>
  <c r="F76" i="48"/>
  <c r="E76" i="48"/>
  <c r="E78" i="48" s="1"/>
  <c r="D76" i="48"/>
  <c r="V75" i="48"/>
  <c r="X74" i="48"/>
  <c r="Y74" i="48" s="1"/>
  <c r="W74" i="48"/>
  <c r="V74" i="48"/>
  <c r="F74" i="48"/>
  <c r="G74" i="48" s="1"/>
  <c r="AH71" i="48"/>
  <c r="W64" i="48"/>
  <c r="X64" i="48" s="1"/>
  <c r="Y64" i="48" s="1"/>
  <c r="Z64" i="48" s="1"/>
  <c r="AA64" i="48" s="1"/>
  <c r="AB64" i="48" s="1"/>
  <c r="AC64" i="48" s="1"/>
  <c r="AD64" i="48" s="1"/>
  <c r="AE64" i="48" s="1"/>
  <c r="AF64" i="48" s="1"/>
  <c r="V64" i="48"/>
  <c r="F64" i="48"/>
  <c r="G64" i="48" s="1"/>
  <c r="H64" i="48" s="1"/>
  <c r="W62" i="48"/>
  <c r="C62" i="48" s="1"/>
  <c r="D62" i="48"/>
  <c r="H61" i="48"/>
  <c r="G61" i="48"/>
  <c r="D61" i="48" s="1"/>
  <c r="F61" i="48"/>
  <c r="E61" i="48"/>
  <c r="AF60" i="48"/>
  <c r="AE60" i="48"/>
  <c r="AD60" i="48"/>
  <c r="AC60" i="48"/>
  <c r="AB60" i="48"/>
  <c r="AA60" i="48"/>
  <c r="Z60" i="48"/>
  <c r="Y60" i="48"/>
  <c r="X60" i="48"/>
  <c r="W60" i="48"/>
  <c r="V60" i="48"/>
  <c r="D60" i="48"/>
  <c r="AF59" i="48"/>
  <c r="AE59" i="48"/>
  <c r="AD59" i="48"/>
  <c r="AC59" i="48"/>
  <c r="AB59" i="48"/>
  <c r="AA59" i="48"/>
  <c r="Z59" i="48"/>
  <c r="Y59" i="48"/>
  <c r="X59" i="48"/>
  <c r="W59" i="48"/>
  <c r="V59" i="48"/>
  <c r="D59" i="48"/>
  <c r="AF58" i="48"/>
  <c r="AE58" i="48"/>
  <c r="AD58" i="48"/>
  <c r="AC58" i="48"/>
  <c r="AB58" i="48"/>
  <c r="AA58" i="48"/>
  <c r="Z58" i="48"/>
  <c r="Y58" i="48"/>
  <c r="X58" i="48"/>
  <c r="W58" i="48"/>
  <c r="V58" i="48"/>
  <c r="D58" i="48"/>
  <c r="AF57" i="48"/>
  <c r="AE57" i="48"/>
  <c r="AD57" i="48"/>
  <c r="AC57" i="48"/>
  <c r="AB57" i="48"/>
  <c r="AA57" i="48"/>
  <c r="Z57" i="48"/>
  <c r="Y57" i="48"/>
  <c r="X57" i="48"/>
  <c r="W57" i="48"/>
  <c r="V57" i="48"/>
  <c r="D57" i="48"/>
  <c r="AF56" i="48"/>
  <c r="AE56" i="48"/>
  <c r="AD56" i="48"/>
  <c r="AC56" i="48"/>
  <c r="AB56" i="48"/>
  <c r="AA56" i="48"/>
  <c r="Z56" i="48"/>
  <c r="Y56" i="48"/>
  <c r="X56" i="48"/>
  <c r="W56" i="48"/>
  <c r="V56" i="48"/>
  <c r="D56" i="48"/>
  <c r="AF55" i="48"/>
  <c r="AE55" i="48"/>
  <c r="AD55" i="48"/>
  <c r="AC55" i="48"/>
  <c r="AB55" i="48"/>
  <c r="AA55" i="48"/>
  <c r="Z55" i="48"/>
  <c r="Y55" i="48"/>
  <c r="X55" i="48"/>
  <c r="W55" i="48"/>
  <c r="V55" i="48"/>
  <c r="D55" i="48"/>
  <c r="AF54" i="48"/>
  <c r="AE54" i="48"/>
  <c r="AD54" i="48"/>
  <c r="AC54" i="48"/>
  <c r="AB54" i="48"/>
  <c r="AA54" i="48"/>
  <c r="Z54" i="48"/>
  <c r="Y54" i="48"/>
  <c r="X54" i="48"/>
  <c r="W54" i="48"/>
  <c r="V54" i="48"/>
  <c r="D54" i="48"/>
  <c r="AF53" i="48"/>
  <c r="AF61" i="48" s="1"/>
  <c r="AE53" i="48"/>
  <c r="AE61" i="48" s="1"/>
  <c r="AD53" i="48"/>
  <c r="AC53" i="48"/>
  <c r="AC76" i="48" s="1"/>
  <c r="AB53" i="48"/>
  <c r="AB76" i="48" s="1"/>
  <c r="AA53" i="48"/>
  <c r="AA61" i="48" s="1"/>
  <c r="Z53" i="48"/>
  <c r="Z61" i="48" s="1"/>
  <c r="Y53" i="48"/>
  <c r="Y76" i="48" s="1"/>
  <c r="X53" i="48"/>
  <c r="W53" i="48"/>
  <c r="W61" i="48" s="1"/>
  <c r="V53" i="48"/>
  <c r="V61" i="48" s="1"/>
  <c r="D53" i="48"/>
  <c r="X52" i="48"/>
  <c r="Y52" i="48" s="1"/>
  <c r="Z52" i="48" s="1"/>
  <c r="AA52" i="48" s="1"/>
  <c r="AB52" i="48" s="1"/>
  <c r="AC52" i="48" s="1"/>
  <c r="AD52" i="48" s="1"/>
  <c r="AE52" i="48" s="1"/>
  <c r="AF52" i="48" s="1"/>
  <c r="W52" i="48"/>
  <c r="V52" i="48"/>
  <c r="G52" i="48"/>
  <c r="H52" i="48" s="1"/>
  <c r="F52" i="48"/>
  <c r="AA14" i="49"/>
  <c r="Y79" i="48"/>
  <c r="AF83" i="50"/>
  <c r="AB80" i="49"/>
  <c r="W79" i="48"/>
  <c r="AD50" i="50"/>
  <c r="AC48" i="49"/>
  <c r="X79" i="48"/>
  <c r="G79" i="48"/>
  <c r="AB14" i="50"/>
  <c r="E79" i="48"/>
  <c r="F79" i="48"/>
  <c r="E48" i="48"/>
  <c r="V79" i="48"/>
  <c r="W76" i="48" l="1"/>
  <c r="V76" i="48"/>
  <c r="V78" i="48" s="1"/>
  <c r="Z76" i="48"/>
  <c r="AA76" i="48"/>
  <c r="C55" i="48"/>
  <c r="C57" i="48"/>
  <c r="C58" i="48"/>
  <c r="C59" i="48"/>
  <c r="AB84" i="50"/>
  <c r="AC79" i="50"/>
  <c r="AC82" i="50" s="1"/>
  <c r="AE42" i="50"/>
  <c r="H46" i="50"/>
  <c r="D46" i="50" s="1"/>
  <c r="AL76" i="50"/>
  <c r="AM76" i="50"/>
  <c r="AM77" i="50"/>
  <c r="X51" i="50"/>
  <c r="Y44" i="50"/>
  <c r="AC3" i="50"/>
  <c r="H13" i="50"/>
  <c r="H15" i="50" s="1"/>
  <c r="G15" i="49"/>
  <c r="H5" i="49"/>
  <c r="Y81" i="49"/>
  <c r="Z75" i="49"/>
  <c r="AC73" i="49"/>
  <c r="AB3" i="49"/>
  <c r="AD40" i="49"/>
  <c r="AD61" i="48"/>
  <c r="C56" i="48"/>
  <c r="E80" i="48"/>
  <c r="AD76" i="48"/>
  <c r="C60" i="48"/>
  <c r="C53" i="48"/>
  <c r="Z74" i="48"/>
  <c r="X61" i="48"/>
  <c r="AB61" i="48"/>
  <c r="C54" i="48"/>
  <c r="Y61" i="48"/>
  <c r="AC61" i="48"/>
  <c r="H74" i="48"/>
  <c r="F75" i="48"/>
  <c r="F78" i="48" s="1"/>
  <c r="X76" i="48"/>
  <c r="AF46" i="48"/>
  <c r="C46" i="48" s="1"/>
  <c r="AE45" i="48"/>
  <c r="C45" i="48" s="1"/>
  <c r="AM44" i="48"/>
  <c r="AL44" i="48"/>
  <c r="AK44" i="48"/>
  <c r="AJ44" i="48"/>
  <c r="AI44" i="48"/>
  <c r="AH44" i="48"/>
  <c r="AK43" i="48"/>
  <c r="AJ43" i="48"/>
  <c r="AI43" i="48"/>
  <c r="F43" i="48"/>
  <c r="E43" i="48"/>
  <c r="D43" i="48"/>
  <c r="V42" i="48"/>
  <c r="V40" i="48"/>
  <c r="W40" i="48" s="1"/>
  <c r="X40" i="48" s="1"/>
  <c r="F40" i="48"/>
  <c r="G40" i="48" s="1"/>
  <c r="AH38" i="48"/>
  <c r="V30" i="48"/>
  <c r="W30" i="48" s="1"/>
  <c r="X30" i="48" s="1"/>
  <c r="Y30" i="48" s="1"/>
  <c r="Z30" i="48" s="1"/>
  <c r="AA30" i="48" s="1"/>
  <c r="AB30" i="48" s="1"/>
  <c r="AC30" i="48" s="1"/>
  <c r="AD30" i="48" s="1"/>
  <c r="AE30" i="48" s="1"/>
  <c r="AF30" i="48" s="1"/>
  <c r="F30" i="48"/>
  <c r="G30" i="48" s="1"/>
  <c r="H30" i="48" s="1"/>
  <c r="D28" i="48"/>
  <c r="C28" i="48"/>
  <c r="H27" i="48"/>
  <c r="G27" i="48"/>
  <c r="D27" i="48" s="1"/>
  <c r="F27" i="48"/>
  <c r="E27" i="48"/>
  <c r="AF26" i="48"/>
  <c r="AE26" i="48"/>
  <c r="AD26" i="48"/>
  <c r="AC26" i="48"/>
  <c r="AB26" i="48"/>
  <c r="AA26" i="48"/>
  <c r="Z26" i="48"/>
  <c r="Y26" i="48"/>
  <c r="X26" i="48"/>
  <c r="W26" i="48"/>
  <c r="V26" i="48"/>
  <c r="D26" i="48"/>
  <c r="D25" i="48"/>
  <c r="C25" i="48"/>
  <c r="AF24" i="48"/>
  <c r="AE24" i="48"/>
  <c r="AD24" i="48"/>
  <c r="AC24" i="48"/>
  <c r="AB24" i="48"/>
  <c r="AA24" i="48"/>
  <c r="Z24" i="48"/>
  <c r="Y24" i="48"/>
  <c r="X24" i="48"/>
  <c r="W24" i="48"/>
  <c r="V24" i="48"/>
  <c r="D24" i="48"/>
  <c r="D23" i="48"/>
  <c r="C23" i="48"/>
  <c r="AF22" i="48"/>
  <c r="AE22" i="48"/>
  <c r="AD22" i="48"/>
  <c r="AC22" i="48"/>
  <c r="AB22" i="48"/>
  <c r="AA22" i="48"/>
  <c r="Z22" i="48"/>
  <c r="Y22" i="48"/>
  <c r="X22" i="48"/>
  <c r="W22" i="48"/>
  <c r="V22" i="48"/>
  <c r="D22" i="48"/>
  <c r="D21" i="48"/>
  <c r="C21" i="48"/>
  <c r="AF20" i="48"/>
  <c r="AE20" i="48"/>
  <c r="AD20" i="48"/>
  <c r="AC20" i="48"/>
  <c r="AB20" i="48"/>
  <c r="AA20" i="48"/>
  <c r="Z20" i="48"/>
  <c r="Y20" i="48"/>
  <c r="X20" i="48"/>
  <c r="W20" i="48"/>
  <c r="V20" i="48"/>
  <c r="D20" i="48"/>
  <c r="AF19" i="48"/>
  <c r="AE19" i="48"/>
  <c r="AD19" i="48"/>
  <c r="AC19" i="48"/>
  <c r="AB19" i="48"/>
  <c r="AB43" i="48" s="1"/>
  <c r="AA19" i="48"/>
  <c r="AA43" i="48" s="1"/>
  <c r="Z19" i="48"/>
  <c r="Z27" i="48" s="1"/>
  <c r="Y19" i="48"/>
  <c r="X19" i="48"/>
  <c r="X43" i="48" s="1"/>
  <c r="W19" i="48"/>
  <c r="W43" i="48" s="1"/>
  <c r="V19" i="48"/>
  <c r="D19" i="48"/>
  <c r="W18" i="48"/>
  <c r="X18" i="48" s="1"/>
  <c r="Y18" i="48" s="1"/>
  <c r="Z18" i="48" s="1"/>
  <c r="AA18" i="48" s="1"/>
  <c r="AB18" i="48" s="1"/>
  <c r="AC18" i="48" s="1"/>
  <c r="AD18" i="48" s="1"/>
  <c r="AE18" i="48" s="1"/>
  <c r="AF18" i="48" s="1"/>
  <c r="V18" i="48"/>
  <c r="G18" i="48"/>
  <c r="H18" i="48" s="1"/>
  <c r="F18" i="48"/>
  <c r="H79" i="48"/>
  <c r="V48" i="48"/>
  <c r="W48" i="48"/>
  <c r="Z79" i="48"/>
  <c r="AB14" i="49"/>
  <c r="X48" i="48"/>
  <c r="F48" i="48"/>
  <c r="AD48" i="49"/>
  <c r="AC80" i="49"/>
  <c r="G48" i="48"/>
  <c r="E14" i="48"/>
  <c r="AE50" i="50"/>
  <c r="AC14" i="50"/>
  <c r="V80" i="48" l="1"/>
  <c r="W75" i="48"/>
  <c r="W78" i="48" s="1"/>
  <c r="X75" i="48" s="1"/>
  <c r="X78" i="48" s="1"/>
  <c r="X27" i="48"/>
  <c r="AB27" i="48"/>
  <c r="AF27" i="48"/>
  <c r="Y43" i="48"/>
  <c r="Y27" i="48"/>
  <c r="AC27" i="48"/>
  <c r="AC43" i="48"/>
  <c r="C20" i="48"/>
  <c r="Z43" i="48"/>
  <c r="C24" i="48"/>
  <c r="C22" i="48"/>
  <c r="AE27" i="48"/>
  <c r="C19" i="48"/>
  <c r="AC84" i="50"/>
  <c r="AD79" i="50"/>
  <c r="AD82" i="50" s="1"/>
  <c r="AF42" i="50"/>
  <c r="H49" i="50"/>
  <c r="H51" i="50" s="1"/>
  <c r="AD3" i="50"/>
  <c r="Y46" i="50"/>
  <c r="Y49" i="50" s="1"/>
  <c r="AM80" i="50"/>
  <c r="AE40" i="49"/>
  <c r="AD73" i="49"/>
  <c r="AC3" i="49"/>
  <c r="H8" i="49"/>
  <c r="D8" i="49" s="1"/>
  <c r="Z77" i="49"/>
  <c r="Z79" i="49" s="1"/>
  <c r="C61" i="48"/>
  <c r="C76" i="48"/>
  <c r="C78" i="48" s="1"/>
  <c r="C26" i="48"/>
  <c r="AD43" i="48"/>
  <c r="AD27" i="48"/>
  <c r="W80" i="48"/>
  <c r="AA74" i="48"/>
  <c r="V43" i="48"/>
  <c r="W27" i="48"/>
  <c r="V27" i="48"/>
  <c r="E44" i="48"/>
  <c r="E47" i="48" s="1"/>
  <c r="F80" i="48"/>
  <c r="G75" i="48"/>
  <c r="G78" i="48" s="1"/>
  <c r="AA27" i="48"/>
  <c r="H40" i="48"/>
  <c r="Y40" i="48"/>
  <c r="C12" i="48"/>
  <c r="C11" i="48"/>
  <c r="AM10" i="48"/>
  <c r="AK10" i="48"/>
  <c r="AJ10" i="48"/>
  <c r="AI10" i="48"/>
  <c r="AH10" i="48"/>
  <c r="C10" i="48"/>
  <c r="C9" i="48"/>
  <c r="E8" i="48"/>
  <c r="E13" i="48" s="1"/>
  <c r="D7" i="48"/>
  <c r="D6" i="48"/>
  <c r="W3" i="48"/>
  <c r="X3" i="48" s="1"/>
  <c r="Y3" i="48" s="1"/>
  <c r="V3" i="48"/>
  <c r="F3" i="48"/>
  <c r="G3" i="48" s="1"/>
  <c r="H3" i="48" s="1"/>
  <c r="C78" i="47"/>
  <c r="F77" i="47"/>
  <c r="H76" i="47"/>
  <c r="D76" i="47" s="1"/>
  <c r="E76" i="47"/>
  <c r="E77" i="47" s="1"/>
  <c r="AL75" i="47"/>
  <c r="V75" i="47"/>
  <c r="V79" i="47" s="1"/>
  <c r="AH74" i="47"/>
  <c r="V73" i="47"/>
  <c r="F73" i="47"/>
  <c r="G73" i="47" s="1"/>
  <c r="H73" i="47" s="1"/>
  <c r="V63" i="47"/>
  <c r="W63" i="47" s="1"/>
  <c r="X63" i="47" s="1"/>
  <c r="Y63" i="47" s="1"/>
  <c r="Z63" i="47" s="1"/>
  <c r="AA63" i="47" s="1"/>
  <c r="AB63" i="47" s="1"/>
  <c r="AC63" i="47" s="1"/>
  <c r="AD63" i="47" s="1"/>
  <c r="AE63" i="47" s="1"/>
  <c r="AF63" i="47" s="1"/>
  <c r="F63" i="47"/>
  <c r="G63" i="47" s="1"/>
  <c r="H63" i="47" s="1"/>
  <c r="W61" i="47"/>
  <c r="D61" i="47"/>
  <c r="C61" i="47"/>
  <c r="H60" i="47"/>
  <c r="G60" i="47"/>
  <c r="F60" i="47"/>
  <c r="D60" i="47" s="1"/>
  <c r="D59" i="47"/>
  <c r="C59" i="47"/>
  <c r="AG58" i="47"/>
  <c r="AF58" i="47"/>
  <c r="AE58" i="47"/>
  <c r="AD58" i="47"/>
  <c r="AC58" i="47"/>
  <c r="AB58" i="47"/>
  <c r="AA58" i="47"/>
  <c r="Z58" i="47"/>
  <c r="Y58" i="47"/>
  <c r="X58" i="47"/>
  <c r="W58" i="47"/>
  <c r="V58" i="47"/>
  <c r="U58" i="47"/>
  <c r="D58" i="47"/>
  <c r="D57" i="47"/>
  <c r="C57" i="47"/>
  <c r="D56" i="47"/>
  <c r="C56" i="47"/>
  <c r="D55" i="47"/>
  <c r="D54" i="47"/>
  <c r="D53" i="47"/>
  <c r="D52" i="47"/>
  <c r="W51" i="47"/>
  <c r="X51" i="47" s="1"/>
  <c r="Y51" i="47" s="1"/>
  <c r="Z51" i="47" s="1"/>
  <c r="AA51" i="47" s="1"/>
  <c r="AB51" i="47" s="1"/>
  <c r="AC51" i="47" s="1"/>
  <c r="AD51" i="47" s="1"/>
  <c r="AE51" i="47" s="1"/>
  <c r="AF51" i="47" s="1"/>
  <c r="V51" i="47"/>
  <c r="F51" i="47"/>
  <c r="G51" i="47" s="1"/>
  <c r="H51" i="47" s="1"/>
  <c r="AG49" i="47"/>
  <c r="G14" i="48"/>
  <c r="V80" i="47"/>
  <c r="Y48" i="48"/>
  <c r="H14" i="48"/>
  <c r="E48" i="47"/>
  <c r="AD14" i="50"/>
  <c r="AE48" i="49"/>
  <c r="X14" i="48"/>
  <c r="F14" i="48"/>
  <c r="AA79" i="48"/>
  <c r="AF50" i="50"/>
  <c r="S48" i="47"/>
  <c r="AC14" i="49"/>
  <c r="H48" i="48"/>
  <c r="Y14" i="48"/>
  <c r="V14" i="48"/>
  <c r="W14" i="48"/>
  <c r="U48" i="47"/>
  <c r="AD80" i="49"/>
  <c r="T48" i="47"/>
  <c r="H13" i="49" l="1"/>
  <c r="H15" i="49" s="1"/>
  <c r="Y51" i="50"/>
  <c r="Z44" i="50"/>
  <c r="AE3" i="50"/>
  <c r="AM44" i="50"/>
  <c r="AL44" i="50"/>
  <c r="AD84" i="50"/>
  <c r="AE79" i="50"/>
  <c r="AE82" i="50" s="1"/>
  <c r="Z81" i="49"/>
  <c r="AA75" i="49"/>
  <c r="AD3" i="49"/>
  <c r="AE73" i="49"/>
  <c r="AF40" i="49"/>
  <c r="C43" i="48"/>
  <c r="C58" i="47"/>
  <c r="E15" i="48"/>
  <c r="F5" i="48"/>
  <c r="E49" i="48"/>
  <c r="F42" i="48"/>
  <c r="X80" i="48"/>
  <c r="Y75" i="48"/>
  <c r="Y78" i="48" s="1"/>
  <c r="AB74" i="48"/>
  <c r="C27" i="48"/>
  <c r="Z40" i="48"/>
  <c r="G80" i="48"/>
  <c r="H75" i="48"/>
  <c r="H78" i="48" s="1"/>
  <c r="H80" i="48" s="1"/>
  <c r="Z3" i="48"/>
  <c r="V44" i="48"/>
  <c r="V81" i="47"/>
  <c r="W75" i="47"/>
  <c r="W73" i="47"/>
  <c r="H77" i="47"/>
  <c r="D77" i="47" s="1"/>
  <c r="AK47" i="47"/>
  <c r="AJ47" i="47"/>
  <c r="AI47" i="47"/>
  <c r="AH47" i="47"/>
  <c r="S47" i="47"/>
  <c r="S49" i="47" s="1"/>
  <c r="AK46" i="47"/>
  <c r="AJ46" i="47"/>
  <c r="AI46" i="47"/>
  <c r="AF46" i="47"/>
  <c r="C46" i="47" s="1"/>
  <c r="T46" i="47"/>
  <c r="AE45" i="47"/>
  <c r="C45" i="47" s="1"/>
  <c r="S44" i="47"/>
  <c r="H43" i="47"/>
  <c r="D43" i="47" s="1"/>
  <c r="E43" i="47"/>
  <c r="AH41" i="47"/>
  <c r="W40" i="47"/>
  <c r="V40" i="47"/>
  <c r="F40" i="47"/>
  <c r="V30" i="47"/>
  <c r="W30" i="47" s="1"/>
  <c r="X30" i="47" s="1"/>
  <c r="Y30" i="47" s="1"/>
  <c r="Z30" i="47" s="1"/>
  <c r="AA30" i="47" s="1"/>
  <c r="AB30" i="47" s="1"/>
  <c r="AC30" i="47" s="1"/>
  <c r="AD30" i="47" s="1"/>
  <c r="AE30" i="47" s="1"/>
  <c r="AF30" i="47" s="1"/>
  <c r="F30" i="47"/>
  <c r="G30" i="47" s="1"/>
  <c r="H30" i="47" s="1"/>
  <c r="D28" i="47"/>
  <c r="C28" i="47"/>
  <c r="H27" i="47"/>
  <c r="D27" i="47" s="1"/>
  <c r="G27" i="47"/>
  <c r="E27" i="47"/>
  <c r="D26" i="47"/>
  <c r="C26" i="47"/>
  <c r="D25" i="47"/>
  <c r="C25" i="47"/>
  <c r="AF24" i="47"/>
  <c r="AE24" i="47"/>
  <c r="AD24" i="47"/>
  <c r="AC24" i="47"/>
  <c r="AB24" i="47"/>
  <c r="AA24" i="47"/>
  <c r="Z24" i="47"/>
  <c r="Y24" i="47"/>
  <c r="X24" i="47"/>
  <c r="W24" i="47"/>
  <c r="V24" i="47"/>
  <c r="U24" i="47"/>
  <c r="D24" i="47"/>
  <c r="D23" i="47"/>
  <c r="C23" i="47"/>
  <c r="D22" i="47"/>
  <c r="C22" i="47"/>
  <c r="D21" i="47"/>
  <c r="C21" i="47"/>
  <c r="D20" i="47"/>
  <c r="D19" i="47"/>
  <c r="V18" i="47"/>
  <c r="W18" i="47" s="1"/>
  <c r="X18" i="47" s="1"/>
  <c r="Y18" i="47" s="1"/>
  <c r="Z18" i="47" s="1"/>
  <c r="AA18" i="47" s="1"/>
  <c r="AB18" i="47" s="1"/>
  <c r="AC18" i="47" s="1"/>
  <c r="AD18" i="47" s="1"/>
  <c r="AE18" i="47" s="1"/>
  <c r="AF18" i="47" s="1"/>
  <c r="F18" i="47"/>
  <c r="G18" i="47" s="1"/>
  <c r="H18" i="47" s="1"/>
  <c r="Z14" i="48"/>
  <c r="T14" i="47"/>
  <c r="AB79" i="48"/>
  <c r="F48" i="47"/>
  <c r="AD14" i="49"/>
  <c r="U14" i="47"/>
  <c r="AF48" i="49"/>
  <c r="S14" i="47"/>
  <c r="W80" i="47"/>
  <c r="AE14" i="50"/>
  <c r="Z48" i="48"/>
  <c r="AE80" i="49"/>
  <c r="W48" i="47"/>
  <c r="V48" i="47"/>
  <c r="E14" i="47"/>
  <c r="T42" i="47" l="1"/>
  <c r="T47" i="47" s="1"/>
  <c r="Z49" i="50"/>
  <c r="Z46" i="50"/>
  <c r="AE84" i="50"/>
  <c r="AF79" i="50"/>
  <c r="AF82" i="50" s="1"/>
  <c r="AF84" i="50" s="1"/>
  <c r="AF3" i="50"/>
  <c r="AA79" i="49"/>
  <c r="AA77" i="49"/>
  <c r="AE3" i="49"/>
  <c r="AF73" i="49"/>
  <c r="C24" i="47"/>
  <c r="F13" i="48"/>
  <c r="F8" i="48"/>
  <c r="AA3" i="48"/>
  <c r="AA40" i="48"/>
  <c r="Y80" i="48"/>
  <c r="Z75" i="48"/>
  <c r="Z78" i="48" s="1"/>
  <c r="AC74" i="48"/>
  <c r="V47" i="48"/>
  <c r="F44" i="48"/>
  <c r="F47" i="48" s="1"/>
  <c r="W77" i="47"/>
  <c r="G40" i="47"/>
  <c r="X40" i="47"/>
  <c r="X73" i="47"/>
  <c r="S13" i="47"/>
  <c r="S15" i="47" s="1"/>
  <c r="C12" i="47"/>
  <c r="C11" i="47"/>
  <c r="AM10" i="47"/>
  <c r="AK10" i="47"/>
  <c r="AJ10" i="47"/>
  <c r="AI10" i="47"/>
  <c r="AH10" i="47"/>
  <c r="C10" i="47"/>
  <c r="C9" i="47"/>
  <c r="E8" i="47"/>
  <c r="E13" i="47" s="1"/>
  <c r="D7" i="47"/>
  <c r="D6" i="47"/>
  <c r="T5" i="47"/>
  <c r="T13" i="47" s="1"/>
  <c r="W3" i="47"/>
  <c r="X3" i="47" s="1"/>
  <c r="V3" i="47"/>
  <c r="F3" i="47"/>
  <c r="G3" i="47" s="1"/>
  <c r="C44" i="26"/>
  <c r="C15" i="26"/>
  <c r="C12" i="26"/>
  <c r="C18" i="26"/>
  <c r="C6" i="26"/>
  <c r="C4" i="26"/>
  <c r="W14" i="47"/>
  <c r="G14" i="47"/>
  <c r="AC79" i="48"/>
  <c r="G48" i="47"/>
  <c r="AA48" i="48"/>
  <c r="X80" i="47"/>
  <c r="X48" i="47"/>
  <c r="F14" i="47"/>
  <c r="AE14" i="49"/>
  <c r="AA14" i="48"/>
  <c r="AF14" i="50"/>
  <c r="V14" i="47"/>
  <c r="AF80" i="49"/>
  <c r="X14" i="47"/>
  <c r="T49" i="47" l="1"/>
  <c r="U42" i="47"/>
  <c r="U47" i="47" s="1"/>
  <c r="Z51" i="50"/>
  <c r="AA44" i="50"/>
  <c r="AF3" i="49"/>
  <c r="AA81" i="49"/>
  <c r="AB75" i="49"/>
  <c r="AM78" i="49"/>
  <c r="AL78" i="49"/>
  <c r="F49" i="48"/>
  <c r="G42" i="48"/>
  <c r="Z80" i="48"/>
  <c r="AA75" i="48"/>
  <c r="AA78" i="48" s="1"/>
  <c r="F15" i="48"/>
  <c r="G5" i="48"/>
  <c r="AB40" i="48"/>
  <c r="AB3" i="48"/>
  <c r="V49" i="48"/>
  <c r="W42" i="48"/>
  <c r="AD74" i="48"/>
  <c r="T15" i="47"/>
  <c r="U5" i="47"/>
  <c r="E15" i="47"/>
  <c r="F5" i="47"/>
  <c r="H3" i="47"/>
  <c r="Y3" i="47"/>
  <c r="Y40" i="47"/>
  <c r="Y73" i="47"/>
  <c r="H40" i="47"/>
  <c r="W79" i="47"/>
  <c r="C77" i="46"/>
  <c r="F76" i="46"/>
  <c r="E76" i="46"/>
  <c r="E78" i="46" s="1"/>
  <c r="D76" i="46"/>
  <c r="V75" i="46"/>
  <c r="V74" i="46"/>
  <c r="W74" i="46" s="1"/>
  <c r="F74" i="46"/>
  <c r="G74" i="46" s="1"/>
  <c r="H74" i="46" s="1"/>
  <c r="AH71" i="46"/>
  <c r="V64" i="46"/>
  <c r="W64" i="46" s="1"/>
  <c r="X64" i="46" s="1"/>
  <c r="Y64" i="46" s="1"/>
  <c r="Z64" i="46" s="1"/>
  <c r="AA64" i="46" s="1"/>
  <c r="AB64" i="46" s="1"/>
  <c r="AC64" i="46" s="1"/>
  <c r="AD64" i="46" s="1"/>
  <c r="AE64" i="46" s="1"/>
  <c r="AF64" i="46" s="1"/>
  <c r="G64" i="46"/>
  <c r="H64" i="46" s="1"/>
  <c r="F64" i="46"/>
  <c r="W62" i="46"/>
  <c r="D62" i="46"/>
  <c r="C62" i="46"/>
  <c r="H61" i="46"/>
  <c r="G61" i="46"/>
  <c r="F61" i="46"/>
  <c r="E61" i="46"/>
  <c r="D61" i="46"/>
  <c r="AF60" i="46"/>
  <c r="AE60" i="46"/>
  <c r="AD60" i="46"/>
  <c r="AC60" i="46"/>
  <c r="AB60" i="46"/>
  <c r="AA60" i="46"/>
  <c r="Z60" i="46"/>
  <c r="Y60" i="46"/>
  <c r="X60" i="46"/>
  <c r="W60" i="46"/>
  <c r="V60" i="46"/>
  <c r="D60" i="46"/>
  <c r="AF59" i="46"/>
  <c r="AE59" i="46"/>
  <c r="AD59" i="46"/>
  <c r="AC59" i="46"/>
  <c r="AB59" i="46"/>
  <c r="AA59" i="46"/>
  <c r="Z59" i="46"/>
  <c r="Y59" i="46"/>
  <c r="X59" i="46"/>
  <c r="W59" i="46"/>
  <c r="V59" i="46"/>
  <c r="D59" i="46"/>
  <c r="AF58" i="46"/>
  <c r="AE58" i="46"/>
  <c r="AD58" i="46"/>
  <c r="AC58" i="46"/>
  <c r="AB58" i="46"/>
  <c r="AA58" i="46"/>
  <c r="Z58" i="46"/>
  <c r="Y58" i="46"/>
  <c r="X58" i="46"/>
  <c r="W58" i="46"/>
  <c r="V58" i="46"/>
  <c r="D58" i="46"/>
  <c r="AF57" i="46"/>
  <c r="AE57" i="46"/>
  <c r="AD57" i="46"/>
  <c r="AC57" i="46"/>
  <c r="AB57" i="46"/>
  <c r="AA57" i="46"/>
  <c r="Z57" i="46"/>
  <c r="Y57" i="46"/>
  <c r="X57" i="46"/>
  <c r="W57" i="46"/>
  <c r="V57" i="46"/>
  <c r="D57" i="46"/>
  <c r="AF56" i="46"/>
  <c r="AE56" i="46"/>
  <c r="AD56" i="46"/>
  <c r="AC56" i="46"/>
  <c r="AB56" i="46"/>
  <c r="AA56" i="46"/>
  <c r="Z56" i="46"/>
  <c r="Y56" i="46"/>
  <c r="X56" i="46"/>
  <c r="W56" i="46"/>
  <c r="V56" i="46"/>
  <c r="D56" i="46"/>
  <c r="AF55" i="46"/>
  <c r="AE55" i="46"/>
  <c r="AD55" i="46"/>
  <c r="AC55" i="46"/>
  <c r="AB55" i="46"/>
  <c r="AA55" i="46"/>
  <c r="Z55" i="46"/>
  <c r="Y55" i="46"/>
  <c r="X55" i="46"/>
  <c r="W55" i="46"/>
  <c r="V55" i="46"/>
  <c r="D55" i="46"/>
  <c r="AF54" i="46"/>
  <c r="AE54" i="46"/>
  <c r="AD54" i="46"/>
  <c r="AC54" i="46"/>
  <c r="AB54" i="46"/>
  <c r="AA54" i="46"/>
  <c r="AA76" i="46" s="1"/>
  <c r="Z54" i="46"/>
  <c r="Y54" i="46"/>
  <c r="X54" i="46"/>
  <c r="W54" i="46"/>
  <c r="V54" i="46"/>
  <c r="D54" i="46"/>
  <c r="AF53" i="46"/>
  <c r="AF61" i="46" s="1"/>
  <c r="AE53" i="46"/>
  <c r="AE61" i="46" s="1"/>
  <c r="AD53" i="46"/>
  <c r="AD61" i="46" s="1"/>
  <c r="AC53" i="46"/>
  <c r="AC76" i="46" s="1"/>
  <c r="AB53" i="46"/>
  <c r="AB61" i="46" s="1"/>
  <c r="AA53" i="46"/>
  <c r="AA61" i="46" s="1"/>
  <c r="Z53" i="46"/>
  <c r="Z61" i="46" s="1"/>
  <c r="Y53" i="46"/>
  <c r="Y76" i="46" s="1"/>
  <c r="X53" i="46"/>
  <c r="X61" i="46" s="1"/>
  <c r="W53" i="46"/>
  <c r="W61" i="46" s="1"/>
  <c r="V53" i="46"/>
  <c r="V61" i="46" s="1"/>
  <c r="D53" i="46"/>
  <c r="V52" i="46"/>
  <c r="W52" i="46" s="1"/>
  <c r="X52" i="46" s="1"/>
  <c r="Y52" i="46" s="1"/>
  <c r="Z52" i="46" s="1"/>
  <c r="AA52" i="46" s="1"/>
  <c r="AB52" i="46" s="1"/>
  <c r="AC52" i="46" s="1"/>
  <c r="AD52" i="46" s="1"/>
  <c r="AE52" i="46" s="1"/>
  <c r="AF52" i="46" s="1"/>
  <c r="F52" i="46"/>
  <c r="G52" i="46" s="1"/>
  <c r="H52" i="46" s="1"/>
  <c r="H79" i="46"/>
  <c r="E79" i="46"/>
  <c r="E48" i="46"/>
  <c r="AF14" i="49"/>
  <c r="Y14" i="47"/>
  <c r="F79" i="46"/>
  <c r="H48" i="47"/>
  <c r="W79" i="46"/>
  <c r="AD79" i="48"/>
  <c r="AB14" i="48"/>
  <c r="AB48" i="48"/>
  <c r="Y80" i="47"/>
  <c r="G79" i="46"/>
  <c r="Y48" i="47"/>
  <c r="H14" i="47"/>
  <c r="V79" i="46"/>
  <c r="W76" i="46" l="1"/>
  <c r="U49" i="47"/>
  <c r="V42" i="47"/>
  <c r="X76" i="46"/>
  <c r="AB76" i="46"/>
  <c r="C55" i="46"/>
  <c r="C56" i="46"/>
  <c r="C59" i="46"/>
  <c r="C60" i="46"/>
  <c r="AA46" i="50"/>
  <c r="AA49" i="50" s="1"/>
  <c r="AB79" i="49"/>
  <c r="AB77" i="49"/>
  <c r="C57" i="46"/>
  <c r="C58" i="46"/>
  <c r="AC3" i="48"/>
  <c r="G8" i="48"/>
  <c r="G13" i="48" s="1"/>
  <c r="AE74" i="48"/>
  <c r="AA80" i="48"/>
  <c r="AB75" i="48"/>
  <c r="AB78" i="48" s="1"/>
  <c r="AC40" i="48"/>
  <c r="G44" i="48"/>
  <c r="G47" i="48" s="1"/>
  <c r="W44" i="48"/>
  <c r="W47" i="48" s="1"/>
  <c r="W81" i="47"/>
  <c r="X75" i="47"/>
  <c r="Z3" i="47"/>
  <c r="Z73" i="47"/>
  <c r="Z40" i="47"/>
  <c r="F8" i="47"/>
  <c r="F13" i="47" s="1"/>
  <c r="X74" i="46"/>
  <c r="E80" i="46"/>
  <c r="F75" i="46"/>
  <c r="F78" i="46" s="1"/>
  <c r="Y61" i="46"/>
  <c r="C61" i="46" s="1"/>
  <c r="V76" i="46"/>
  <c r="V78" i="46" s="1"/>
  <c r="Z76" i="46"/>
  <c r="AD76" i="46"/>
  <c r="C54" i="46"/>
  <c r="AC61" i="46"/>
  <c r="C53" i="46"/>
  <c r="AF46" i="46"/>
  <c r="C46" i="46" s="1"/>
  <c r="AE45" i="46"/>
  <c r="C45" i="46" s="1"/>
  <c r="AM44" i="46"/>
  <c r="AL44" i="46"/>
  <c r="AK44" i="46"/>
  <c r="AJ44" i="46"/>
  <c r="AI44" i="46"/>
  <c r="AH44" i="46"/>
  <c r="AK43" i="46"/>
  <c r="AJ43" i="46"/>
  <c r="AI43" i="46"/>
  <c r="F43" i="46"/>
  <c r="E43" i="46"/>
  <c r="D43" i="46"/>
  <c r="V42" i="46"/>
  <c r="V40" i="46"/>
  <c r="W40" i="46" s="1"/>
  <c r="F40" i="46"/>
  <c r="AH38" i="46"/>
  <c r="V30" i="46"/>
  <c r="W30" i="46" s="1"/>
  <c r="X30" i="46" s="1"/>
  <c r="Y30" i="46" s="1"/>
  <c r="Z30" i="46" s="1"/>
  <c r="AA30" i="46" s="1"/>
  <c r="AB30" i="46" s="1"/>
  <c r="AC30" i="46" s="1"/>
  <c r="AD30" i="46" s="1"/>
  <c r="AE30" i="46" s="1"/>
  <c r="AF30" i="46" s="1"/>
  <c r="F30" i="46"/>
  <c r="G30" i="46" s="1"/>
  <c r="H30" i="46" s="1"/>
  <c r="D28" i="46"/>
  <c r="C28" i="46"/>
  <c r="H27" i="46"/>
  <c r="G27" i="46"/>
  <c r="F27" i="46"/>
  <c r="E27" i="46"/>
  <c r="AF26" i="46"/>
  <c r="AE26" i="46"/>
  <c r="AD26" i="46"/>
  <c r="AC26" i="46"/>
  <c r="AB26" i="46"/>
  <c r="AA26" i="46"/>
  <c r="Z26" i="46"/>
  <c r="Y26" i="46"/>
  <c r="X26" i="46"/>
  <c r="W26" i="46"/>
  <c r="V26" i="46"/>
  <c r="D26" i="46"/>
  <c r="D25" i="46"/>
  <c r="C25" i="46"/>
  <c r="AF24" i="46"/>
  <c r="AE24" i="46"/>
  <c r="AD24" i="46"/>
  <c r="AC24" i="46"/>
  <c r="AB24" i="46"/>
  <c r="AA24" i="46"/>
  <c r="Z24" i="46"/>
  <c r="Y24" i="46"/>
  <c r="X24" i="46"/>
  <c r="W24" i="46"/>
  <c r="V24" i="46"/>
  <c r="D24" i="46"/>
  <c r="D23" i="46"/>
  <c r="C23" i="46"/>
  <c r="AF22" i="46"/>
  <c r="AE22" i="46"/>
  <c r="AD22" i="46"/>
  <c r="AC22" i="46"/>
  <c r="AB22" i="46"/>
  <c r="AA22" i="46"/>
  <c r="Z22" i="46"/>
  <c r="Y22" i="46"/>
  <c r="X22" i="46"/>
  <c r="W22" i="46"/>
  <c r="V22" i="46"/>
  <c r="D22" i="46"/>
  <c r="D21" i="46"/>
  <c r="C21" i="46"/>
  <c r="AF20" i="46"/>
  <c r="AE20" i="46"/>
  <c r="AD20" i="46"/>
  <c r="AC20" i="46"/>
  <c r="AB20" i="46"/>
  <c r="AA20" i="46"/>
  <c r="Z20" i="46"/>
  <c r="Y20" i="46"/>
  <c r="X20" i="46"/>
  <c r="W20" i="46"/>
  <c r="V20" i="46"/>
  <c r="D20" i="46"/>
  <c r="AF19" i="46"/>
  <c r="AE19" i="46"/>
  <c r="AD19" i="46"/>
  <c r="AC19" i="46"/>
  <c r="AB19" i="46"/>
  <c r="AA19" i="46"/>
  <c r="AA43" i="46" s="1"/>
  <c r="Z19" i="46"/>
  <c r="Z43" i="46" s="1"/>
  <c r="Y19" i="46"/>
  <c r="X19" i="46"/>
  <c r="W19" i="46"/>
  <c r="W43" i="46" s="1"/>
  <c r="V19" i="46"/>
  <c r="V43" i="46" s="1"/>
  <c r="D19" i="46"/>
  <c r="V18" i="46"/>
  <c r="W18" i="46" s="1"/>
  <c r="X18" i="46" s="1"/>
  <c r="Y18" i="46" s="1"/>
  <c r="Z18" i="46" s="1"/>
  <c r="AA18" i="46" s="1"/>
  <c r="AB18" i="46" s="1"/>
  <c r="AC18" i="46" s="1"/>
  <c r="AD18" i="46" s="1"/>
  <c r="AE18" i="46" s="1"/>
  <c r="AF18" i="46" s="1"/>
  <c r="F18" i="46"/>
  <c r="G18" i="46" s="1"/>
  <c r="H18" i="46" s="1"/>
  <c r="AE79" i="48"/>
  <c r="F48" i="46"/>
  <c r="Z48" i="47"/>
  <c r="E14" i="46"/>
  <c r="Z80" i="47"/>
  <c r="AC48" i="48"/>
  <c r="X79" i="46"/>
  <c r="AC14" i="48"/>
  <c r="V48" i="46"/>
  <c r="Z14" i="47"/>
  <c r="W48" i="46"/>
  <c r="AB27" i="46" l="1"/>
  <c r="X43" i="46"/>
  <c r="AB43" i="46"/>
  <c r="X27" i="46"/>
  <c r="AF27" i="46"/>
  <c r="Y27" i="46"/>
  <c r="D27" i="46"/>
  <c r="W27" i="46"/>
  <c r="AA27" i="46"/>
  <c r="C24" i="46"/>
  <c r="AE27" i="46"/>
  <c r="AA51" i="50"/>
  <c r="AB44" i="50"/>
  <c r="AB81" i="49"/>
  <c r="AC75" i="49"/>
  <c r="C20" i="46"/>
  <c r="AD43" i="46"/>
  <c r="C26" i="46"/>
  <c r="G15" i="48"/>
  <c r="H5" i="48"/>
  <c r="G49" i="48"/>
  <c r="H42" i="48"/>
  <c r="AB80" i="48"/>
  <c r="AC75" i="48"/>
  <c r="AC78" i="48" s="1"/>
  <c r="AD40" i="48"/>
  <c r="AF74" i="48"/>
  <c r="AD3" i="48"/>
  <c r="W49" i="48"/>
  <c r="X42" i="48"/>
  <c r="AA40" i="47"/>
  <c r="X79" i="47"/>
  <c r="X77" i="47"/>
  <c r="F15" i="47"/>
  <c r="G5" i="47"/>
  <c r="AA3" i="47"/>
  <c r="AA73" i="47"/>
  <c r="AC27" i="46"/>
  <c r="C22" i="46"/>
  <c r="AC43" i="46"/>
  <c r="V47" i="46"/>
  <c r="Y74" i="46"/>
  <c r="F80" i="46"/>
  <c r="G75" i="46"/>
  <c r="G78" i="46" s="1"/>
  <c r="Z27" i="46"/>
  <c r="AD27" i="46"/>
  <c r="E44" i="46"/>
  <c r="E47" i="46" s="1"/>
  <c r="V44" i="46"/>
  <c r="C19" i="46"/>
  <c r="C76" i="46"/>
  <c r="C78" i="46" s="1"/>
  <c r="V80" i="46"/>
  <c r="W75" i="46"/>
  <c r="W78" i="46" s="1"/>
  <c r="Y43" i="46"/>
  <c r="V27" i="46"/>
  <c r="G40" i="46"/>
  <c r="X40" i="46"/>
  <c r="C12" i="46"/>
  <c r="C11" i="46"/>
  <c r="AM10" i="46"/>
  <c r="AK10" i="46"/>
  <c r="AJ10" i="46"/>
  <c r="AI10" i="46"/>
  <c r="AH10" i="46"/>
  <c r="C10" i="46"/>
  <c r="C9" i="46"/>
  <c r="E8" i="46"/>
  <c r="D7" i="46"/>
  <c r="D6" i="46"/>
  <c r="V3" i="46"/>
  <c r="W3" i="46" s="1"/>
  <c r="X3" i="46" s="1"/>
  <c r="G3" i="46"/>
  <c r="F3" i="46"/>
  <c r="C78" i="45"/>
  <c r="F77" i="45"/>
  <c r="E77" i="45"/>
  <c r="H76" i="45"/>
  <c r="D76" i="45" s="1"/>
  <c r="E76" i="45"/>
  <c r="AL75" i="45"/>
  <c r="V75" i="45"/>
  <c r="V79" i="45" s="1"/>
  <c r="AH74" i="45"/>
  <c r="V73" i="45"/>
  <c r="W73" i="45" s="1"/>
  <c r="F73" i="45"/>
  <c r="G73" i="45" s="1"/>
  <c r="H73" i="45" s="1"/>
  <c r="W63" i="45"/>
  <c r="X63" i="45" s="1"/>
  <c r="Y63" i="45" s="1"/>
  <c r="Z63" i="45" s="1"/>
  <c r="AA63" i="45" s="1"/>
  <c r="AB63" i="45" s="1"/>
  <c r="AC63" i="45" s="1"/>
  <c r="AD63" i="45" s="1"/>
  <c r="AE63" i="45" s="1"/>
  <c r="AF63" i="45" s="1"/>
  <c r="V63" i="45"/>
  <c r="F63" i="45"/>
  <c r="G63" i="45" s="1"/>
  <c r="H63" i="45" s="1"/>
  <c r="W61" i="45"/>
  <c r="C61" i="45" s="1"/>
  <c r="D61" i="45"/>
  <c r="H60" i="45"/>
  <c r="G60" i="45"/>
  <c r="F60" i="45"/>
  <c r="D59" i="45"/>
  <c r="C59" i="45"/>
  <c r="AG58" i="45"/>
  <c r="AF58" i="45"/>
  <c r="AE58" i="45"/>
  <c r="AD58" i="45"/>
  <c r="AC58" i="45"/>
  <c r="AB58" i="45"/>
  <c r="AA58" i="45"/>
  <c r="Z58" i="45"/>
  <c r="Y58" i="45"/>
  <c r="X58" i="45"/>
  <c r="W58" i="45"/>
  <c r="V58" i="45"/>
  <c r="U58" i="45"/>
  <c r="D58" i="45"/>
  <c r="D57" i="45"/>
  <c r="C57" i="45"/>
  <c r="D56" i="45"/>
  <c r="C56" i="45"/>
  <c r="D55" i="45"/>
  <c r="D54" i="45"/>
  <c r="D53" i="45"/>
  <c r="D52" i="45"/>
  <c r="X51" i="45"/>
  <c r="Y51" i="45" s="1"/>
  <c r="Z51" i="45" s="1"/>
  <c r="AA51" i="45" s="1"/>
  <c r="AB51" i="45" s="1"/>
  <c r="AC51" i="45" s="1"/>
  <c r="AD51" i="45" s="1"/>
  <c r="AE51" i="45" s="1"/>
  <c r="AF51" i="45" s="1"/>
  <c r="W51" i="45"/>
  <c r="V51" i="45"/>
  <c r="F51" i="45"/>
  <c r="G51" i="45" s="1"/>
  <c r="H51" i="45" s="1"/>
  <c r="AG49" i="45"/>
  <c r="G48" i="46"/>
  <c r="E48" i="45"/>
  <c r="AD14" i="48"/>
  <c r="W14" i="46"/>
  <c r="X14" i="46"/>
  <c r="Y79" i="46"/>
  <c r="AD48" i="48"/>
  <c r="AA14" i="47"/>
  <c r="F14" i="46"/>
  <c r="X48" i="46"/>
  <c r="AA80" i="47"/>
  <c r="AF79" i="48"/>
  <c r="AA48" i="47"/>
  <c r="W80" i="45"/>
  <c r="G14" i="46"/>
  <c r="V80" i="45"/>
  <c r="S48" i="45"/>
  <c r="U48" i="45"/>
  <c r="V14" i="46"/>
  <c r="T48" i="45"/>
  <c r="D60" i="45" l="1"/>
  <c r="C27" i="46"/>
  <c r="AB46" i="50"/>
  <c r="AB49" i="50" s="1"/>
  <c r="AC77" i="49"/>
  <c r="AC79" i="49" s="1"/>
  <c r="C58" i="45"/>
  <c r="AC80" i="48"/>
  <c r="AD75" i="48"/>
  <c r="AD78" i="48" s="1"/>
  <c r="X44" i="48"/>
  <c r="X47" i="48" s="1"/>
  <c r="AE3" i="48"/>
  <c r="H13" i="48"/>
  <c r="H15" i="48" s="1"/>
  <c r="H8" i="48"/>
  <c r="D8" i="48" s="1"/>
  <c r="AE40" i="48"/>
  <c r="AL72" i="48"/>
  <c r="AM72" i="48"/>
  <c r="AL73" i="48"/>
  <c r="AM73" i="48"/>
  <c r="H44" i="48"/>
  <c r="D44" i="48" s="1"/>
  <c r="G8" i="47"/>
  <c r="G13" i="47" s="1"/>
  <c r="X81" i="47"/>
  <c r="Y75" i="47"/>
  <c r="AB73" i="47"/>
  <c r="AB3" i="47"/>
  <c r="AB40" i="47"/>
  <c r="C43" i="46"/>
  <c r="E49" i="46"/>
  <c r="F42" i="46"/>
  <c r="V49" i="46"/>
  <c r="W42" i="46"/>
  <c r="Y40" i="46"/>
  <c r="W80" i="46"/>
  <c r="X75" i="46"/>
  <c r="X78" i="46" s="1"/>
  <c r="E13" i="46"/>
  <c r="H40" i="46"/>
  <c r="Z74" i="46"/>
  <c r="G80" i="46"/>
  <c r="H75" i="46"/>
  <c r="H78" i="46" s="1"/>
  <c r="H80" i="46" s="1"/>
  <c r="H3" i="46"/>
  <c r="Y3" i="46"/>
  <c r="V81" i="45"/>
  <c r="W75" i="45"/>
  <c r="H77" i="45"/>
  <c r="D77" i="45" s="1"/>
  <c r="X73" i="45"/>
  <c r="AK47" i="45"/>
  <c r="AJ47" i="45"/>
  <c r="AI47" i="45"/>
  <c r="AH47" i="45"/>
  <c r="AK46" i="45"/>
  <c r="AJ46" i="45"/>
  <c r="AI46" i="45"/>
  <c r="AF46" i="45"/>
  <c r="C46" i="45" s="1"/>
  <c r="T46" i="45"/>
  <c r="AE45" i="45"/>
  <c r="C45" i="45"/>
  <c r="S44" i="45"/>
  <c r="S47" i="45" s="1"/>
  <c r="H43" i="45"/>
  <c r="D43" i="45" s="1"/>
  <c r="E43" i="45"/>
  <c r="AH41" i="45"/>
  <c r="V40" i="45"/>
  <c r="W40" i="45" s="1"/>
  <c r="X40" i="45" s="1"/>
  <c r="G40" i="45"/>
  <c r="F40" i="45"/>
  <c r="V30" i="45"/>
  <c r="W30" i="45" s="1"/>
  <c r="X30" i="45" s="1"/>
  <c r="Y30" i="45" s="1"/>
  <c r="Z30" i="45" s="1"/>
  <c r="AA30" i="45" s="1"/>
  <c r="AB30" i="45" s="1"/>
  <c r="AC30" i="45" s="1"/>
  <c r="AD30" i="45" s="1"/>
  <c r="AE30" i="45" s="1"/>
  <c r="AF30" i="45" s="1"/>
  <c r="F30" i="45"/>
  <c r="G30" i="45" s="1"/>
  <c r="H30" i="45" s="1"/>
  <c r="D28" i="45"/>
  <c r="C28" i="45"/>
  <c r="H27" i="45"/>
  <c r="G27" i="45"/>
  <c r="D27" i="45" s="1"/>
  <c r="E27" i="45"/>
  <c r="D26" i="45"/>
  <c r="C26" i="45"/>
  <c r="D25" i="45"/>
  <c r="C25" i="45"/>
  <c r="AF24" i="45"/>
  <c r="AE24" i="45"/>
  <c r="AD24" i="45"/>
  <c r="AC24" i="45"/>
  <c r="AB24" i="45"/>
  <c r="AA24" i="45"/>
  <c r="Z24" i="45"/>
  <c r="Y24" i="45"/>
  <c r="X24" i="45"/>
  <c r="C24" i="45" s="1"/>
  <c r="W24" i="45"/>
  <c r="V24" i="45"/>
  <c r="U24" i="45"/>
  <c r="D24" i="45"/>
  <c r="D23" i="45"/>
  <c r="C23" i="45"/>
  <c r="D22" i="45"/>
  <c r="C22" i="45"/>
  <c r="D21" i="45"/>
  <c r="C21" i="45"/>
  <c r="D20" i="45"/>
  <c r="D19" i="45"/>
  <c r="W18" i="45"/>
  <c r="X18" i="45" s="1"/>
  <c r="Y18" i="45" s="1"/>
  <c r="Z18" i="45" s="1"/>
  <c r="AA18" i="45" s="1"/>
  <c r="AB18" i="45" s="1"/>
  <c r="AC18" i="45" s="1"/>
  <c r="AD18" i="45" s="1"/>
  <c r="AE18" i="45" s="1"/>
  <c r="AF18" i="45" s="1"/>
  <c r="V18" i="45"/>
  <c r="F18" i="45"/>
  <c r="G18" i="45" s="1"/>
  <c r="H18" i="45" s="1"/>
  <c r="AB48" i="47"/>
  <c r="U14" i="45"/>
  <c r="H14" i="46"/>
  <c r="AE14" i="48"/>
  <c r="AE48" i="48"/>
  <c r="Y14" i="46"/>
  <c r="X80" i="45"/>
  <c r="V48" i="45"/>
  <c r="Y48" i="46"/>
  <c r="Z79" i="46"/>
  <c r="H48" i="46"/>
  <c r="X48" i="45"/>
  <c r="E14" i="45"/>
  <c r="AB14" i="47"/>
  <c r="G48" i="45"/>
  <c r="S14" i="45"/>
  <c r="W48" i="45"/>
  <c r="T14" i="45"/>
  <c r="F48" i="45"/>
  <c r="AB80" i="47"/>
  <c r="H47" i="48" l="1"/>
  <c r="H49" i="48" s="1"/>
  <c r="AB51" i="50"/>
  <c r="AC44" i="50"/>
  <c r="AC81" i="49"/>
  <c r="AD75" i="49"/>
  <c r="X49" i="48"/>
  <c r="Y42" i="48"/>
  <c r="AF40" i="48"/>
  <c r="AF3" i="48"/>
  <c r="AD80" i="48"/>
  <c r="AE75" i="48"/>
  <c r="AE78" i="48" s="1"/>
  <c r="AM76" i="48"/>
  <c r="AC3" i="47"/>
  <c r="G15" i="47"/>
  <c r="H5" i="47"/>
  <c r="Y77" i="47"/>
  <c r="AC40" i="47"/>
  <c r="AC73" i="47"/>
  <c r="E15" i="46"/>
  <c r="F5" i="46"/>
  <c r="Z40" i="46"/>
  <c r="X80" i="46"/>
  <c r="Y75" i="46"/>
  <c r="Y78" i="46" s="1"/>
  <c r="Z3" i="46"/>
  <c r="W44" i="46"/>
  <c r="W47" i="46" s="1"/>
  <c r="F44" i="46"/>
  <c r="F47" i="46" s="1"/>
  <c r="AA74" i="46"/>
  <c r="S49" i="45"/>
  <c r="T42" i="45"/>
  <c r="T47" i="45" s="1"/>
  <c r="W77" i="45"/>
  <c r="W79" i="45"/>
  <c r="Y73" i="45"/>
  <c r="H40" i="45"/>
  <c r="Y40" i="45"/>
  <c r="S13" i="45"/>
  <c r="S15" i="45" s="1"/>
  <c r="C12" i="45"/>
  <c r="C11" i="45"/>
  <c r="AM10" i="45"/>
  <c r="AK10" i="45"/>
  <c r="AJ10" i="45"/>
  <c r="AI10" i="45"/>
  <c r="AH10" i="45"/>
  <c r="C10" i="45"/>
  <c r="C9" i="45"/>
  <c r="E8" i="45"/>
  <c r="E13" i="45" s="1"/>
  <c r="D7" i="45"/>
  <c r="D6" i="45"/>
  <c r="T5" i="45"/>
  <c r="T13" i="45" s="1"/>
  <c r="V3" i="45"/>
  <c r="F3" i="45"/>
  <c r="G3" i="45" s="1"/>
  <c r="H3" i="45" s="1"/>
  <c r="C53" i="25"/>
  <c r="C44" i="25"/>
  <c r="C9" i="25"/>
  <c r="C15" i="25"/>
  <c r="C12" i="25"/>
  <c r="C18" i="25"/>
  <c r="C6" i="25"/>
  <c r="C4" i="25"/>
  <c r="C77" i="44"/>
  <c r="F76" i="44"/>
  <c r="E76" i="44"/>
  <c r="E78" i="44" s="1"/>
  <c r="D76" i="44"/>
  <c r="V75" i="44"/>
  <c r="V74" i="44"/>
  <c r="W74" i="44" s="1"/>
  <c r="F74" i="44"/>
  <c r="G74" i="44" s="1"/>
  <c r="H74" i="44" s="1"/>
  <c r="AH71" i="44"/>
  <c r="V64" i="44"/>
  <c r="W64" i="44" s="1"/>
  <c r="X64" i="44" s="1"/>
  <c r="Y64" i="44" s="1"/>
  <c r="Z64" i="44" s="1"/>
  <c r="AA64" i="44" s="1"/>
  <c r="AB64" i="44" s="1"/>
  <c r="AC64" i="44" s="1"/>
  <c r="AD64" i="44" s="1"/>
  <c r="AE64" i="44" s="1"/>
  <c r="AF64" i="44" s="1"/>
  <c r="F64" i="44"/>
  <c r="G64" i="44" s="1"/>
  <c r="H64" i="44" s="1"/>
  <c r="W62" i="44"/>
  <c r="D62" i="44"/>
  <c r="C62" i="44"/>
  <c r="H61" i="44"/>
  <c r="G61" i="44"/>
  <c r="F61" i="44"/>
  <c r="E61" i="44"/>
  <c r="D61" i="44"/>
  <c r="AF60" i="44"/>
  <c r="AE60" i="44"/>
  <c r="AD60" i="44"/>
  <c r="AC60" i="44"/>
  <c r="AB60" i="44"/>
  <c r="AA60" i="44"/>
  <c r="Z60" i="44"/>
  <c r="Y60" i="44"/>
  <c r="X60" i="44"/>
  <c r="W60" i="44"/>
  <c r="V60" i="44"/>
  <c r="D60" i="44"/>
  <c r="AF59" i="44"/>
  <c r="AE59" i="44"/>
  <c r="AD59" i="44"/>
  <c r="AC59" i="44"/>
  <c r="AB59" i="44"/>
  <c r="AA59" i="44"/>
  <c r="Z59" i="44"/>
  <c r="Y59" i="44"/>
  <c r="X59" i="44"/>
  <c r="W59" i="44"/>
  <c r="V59" i="44"/>
  <c r="D59" i="44"/>
  <c r="AF58" i="44"/>
  <c r="AE58" i="44"/>
  <c r="AD58" i="44"/>
  <c r="AC58" i="44"/>
  <c r="AB58" i="44"/>
  <c r="AA58" i="44"/>
  <c r="Z58" i="44"/>
  <c r="Y58" i="44"/>
  <c r="X58" i="44"/>
  <c r="W58" i="44"/>
  <c r="V58" i="44"/>
  <c r="D58" i="44"/>
  <c r="AF57" i="44"/>
  <c r="AE57" i="44"/>
  <c r="AD57" i="44"/>
  <c r="AC57" i="44"/>
  <c r="AB57" i="44"/>
  <c r="AA57" i="44"/>
  <c r="Z57" i="44"/>
  <c r="Y57" i="44"/>
  <c r="X57" i="44"/>
  <c r="W57" i="44"/>
  <c r="V57" i="44"/>
  <c r="D57" i="44"/>
  <c r="AF56" i="44"/>
  <c r="AE56" i="44"/>
  <c r="AD56" i="44"/>
  <c r="AC56" i="44"/>
  <c r="AB56" i="44"/>
  <c r="AA56" i="44"/>
  <c r="Z56" i="44"/>
  <c r="Y56" i="44"/>
  <c r="X56" i="44"/>
  <c r="W56" i="44"/>
  <c r="V56" i="44"/>
  <c r="D56" i="44"/>
  <c r="AF55" i="44"/>
  <c r="AE55" i="44"/>
  <c r="AD55" i="44"/>
  <c r="AC55" i="44"/>
  <c r="AB55" i="44"/>
  <c r="AA55" i="44"/>
  <c r="Z55" i="44"/>
  <c r="Y55" i="44"/>
  <c r="X55" i="44"/>
  <c r="W55" i="44"/>
  <c r="V55" i="44"/>
  <c r="D55" i="44"/>
  <c r="AF54" i="44"/>
  <c r="AE54" i="44"/>
  <c r="AD54" i="44"/>
  <c r="AC54" i="44"/>
  <c r="AB54" i="44"/>
  <c r="AA54" i="44"/>
  <c r="Z54" i="44"/>
  <c r="Y54" i="44"/>
  <c r="X54" i="44"/>
  <c r="W54" i="44"/>
  <c r="V54" i="44"/>
  <c r="D54" i="44"/>
  <c r="AF53" i="44"/>
  <c r="AF61" i="44" s="1"/>
  <c r="AE53" i="44"/>
  <c r="AD53" i="44"/>
  <c r="AC53" i="44"/>
  <c r="AC76" i="44" s="1"/>
  <c r="AB53" i="44"/>
  <c r="AA53" i="44"/>
  <c r="AA61" i="44" s="1"/>
  <c r="Z53" i="44"/>
  <c r="Z61" i="44" s="1"/>
  <c r="Y53" i="44"/>
  <c r="Y76" i="44" s="1"/>
  <c r="X53" i="44"/>
  <c r="X61" i="44" s="1"/>
  <c r="W53" i="44"/>
  <c r="W61" i="44" s="1"/>
  <c r="V53" i="44"/>
  <c r="V61" i="44" s="1"/>
  <c r="D53" i="44"/>
  <c r="V52" i="44"/>
  <c r="W52" i="44" s="1"/>
  <c r="X52" i="44" s="1"/>
  <c r="Y52" i="44" s="1"/>
  <c r="Z52" i="44" s="1"/>
  <c r="AA52" i="44" s="1"/>
  <c r="AB52" i="44" s="1"/>
  <c r="AC52" i="44" s="1"/>
  <c r="AD52" i="44" s="1"/>
  <c r="AE52" i="44" s="1"/>
  <c r="AF52" i="44" s="1"/>
  <c r="F52" i="44"/>
  <c r="G52" i="44" s="1"/>
  <c r="H52" i="44" s="1"/>
  <c r="H79" i="44"/>
  <c r="AF14" i="48"/>
  <c r="Z14" i="46"/>
  <c r="G14" i="45"/>
  <c r="AC14" i="47"/>
  <c r="Z48" i="46"/>
  <c r="H14" i="45"/>
  <c r="E79" i="44"/>
  <c r="F14" i="45"/>
  <c r="V14" i="45"/>
  <c r="V79" i="44"/>
  <c r="G79" i="44"/>
  <c r="E48" i="44"/>
  <c r="AC48" i="47"/>
  <c r="AA79" i="46"/>
  <c r="W79" i="44"/>
  <c r="AF48" i="48"/>
  <c r="F79" i="44"/>
  <c r="AC80" i="47"/>
  <c r="Y80" i="45"/>
  <c r="Y48" i="45"/>
  <c r="H48" i="45"/>
  <c r="T15" i="45" l="1"/>
  <c r="U5" i="45"/>
  <c r="E15" i="45"/>
  <c r="F5" i="45"/>
  <c r="F8" i="45" s="1"/>
  <c r="W76" i="44"/>
  <c r="AA76" i="44"/>
  <c r="X76" i="44"/>
  <c r="C58" i="44"/>
  <c r="AE61" i="44"/>
  <c r="AC46" i="50"/>
  <c r="AC49" i="50" s="1"/>
  <c r="AD77" i="49"/>
  <c r="AD79" i="49" s="1"/>
  <c r="AD61" i="44"/>
  <c r="AE80" i="48"/>
  <c r="AF75" i="48"/>
  <c r="AF78" i="48" s="1"/>
  <c r="AF80" i="48" s="1"/>
  <c r="Y44" i="48"/>
  <c r="Y47" i="48" s="1"/>
  <c r="AM42" i="48"/>
  <c r="AL42" i="48"/>
  <c r="AD40" i="47"/>
  <c r="AD3" i="47"/>
  <c r="Y79" i="47"/>
  <c r="AD73" i="47"/>
  <c r="H8" i="47"/>
  <c r="D8" i="47" s="1"/>
  <c r="H13" i="47"/>
  <c r="H15" i="47" s="1"/>
  <c r="F49" i="46"/>
  <c r="G42" i="46"/>
  <c r="W49" i="46"/>
  <c r="X42" i="46"/>
  <c r="AB74" i="46"/>
  <c r="Y80" i="46"/>
  <c r="Z75" i="46"/>
  <c r="Z78" i="46" s="1"/>
  <c r="AA40" i="46"/>
  <c r="AA3" i="46"/>
  <c r="F8" i="46"/>
  <c r="F13" i="46" s="1"/>
  <c r="Z40" i="45"/>
  <c r="W81" i="45"/>
  <c r="X75" i="45"/>
  <c r="Z73" i="45"/>
  <c r="T49" i="45"/>
  <c r="U42" i="45"/>
  <c r="U47" i="45" s="1"/>
  <c r="F13" i="45"/>
  <c r="W3" i="45"/>
  <c r="C60" i="44"/>
  <c r="C59" i="44"/>
  <c r="AB61" i="44"/>
  <c r="AB76" i="44"/>
  <c r="C57" i="44"/>
  <c r="C56" i="44"/>
  <c r="C55" i="44"/>
  <c r="X74" i="44"/>
  <c r="E80" i="44"/>
  <c r="F75" i="44"/>
  <c r="F78" i="44" s="1"/>
  <c r="C54" i="44"/>
  <c r="Y61" i="44"/>
  <c r="C53" i="44"/>
  <c r="V76" i="44"/>
  <c r="V78" i="44" s="1"/>
  <c r="Z76" i="44"/>
  <c r="AD76" i="44"/>
  <c r="AC61" i="44"/>
  <c r="AF46" i="44"/>
  <c r="C46" i="44"/>
  <c r="AE45" i="44"/>
  <c r="C45" i="44" s="1"/>
  <c r="AM44" i="44"/>
  <c r="AL44" i="44"/>
  <c r="AK44" i="44"/>
  <c r="AJ44" i="44"/>
  <c r="AI44" i="44"/>
  <c r="AH44" i="44"/>
  <c r="AK43" i="44"/>
  <c r="AJ43" i="44"/>
  <c r="AI43" i="44"/>
  <c r="F43" i="44"/>
  <c r="E43" i="44"/>
  <c r="E44" i="44" s="1"/>
  <c r="D43" i="44"/>
  <c r="V42" i="44"/>
  <c r="V40" i="44"/>
  <c r="H40" i="44"/>
  <c r="G40" i="44"/>
  <c r="F40" i="44"/>
  <c r="AH38" i="44"/>
  <c r="V30" i="44"/>
  <c r="W30" i="44" s="1"/>
  <c r="X30" i="44" s="1"/>
  <c r="Y30" i="44" s="1"/>
  <c r="Z30" i="44" s="1"/>
  <c r="AA30" i="44" s="1"/>
  <c r="AB30" i="44" s="1"/>
  <c r="AC30" i="44" s="1"/>
  <c r="AD30" i="44" s="1"/>
  <c r="AE30" i="44" s="1"/>
  <c r="AF30" i="44" s="1"/>
  <c r="F30" i="44"/>
  <c r="G30" i="44" s="1"/>
  <c r="H30" i="44" s="1"/>
  <c r="D28" i="44"/>
  <c r="C28" i="44"/>
  <c r="H27" i="44"/>
  <c r="G27" i="44"/>
  <c r="F27" i="44"/>
  <c r="E27" i="44"/>
  <c r="AF26" i="44"/>
  <c r="AE26" i="44"/>
  <c r="AD26" i="44"/>
  <c r="AC26" i="44"/>
  <c r="AB26" i="44"/>
  <c r="AA26" i="44"/>
  <c r="Z26" i="44"/>
  <c r="Y26" i="44"/>
  <c r="X26" i="44"/>
  <c r="W26" i="44"/>
  <c r="V26" i="44"/>
  <c r="D26" i="44"/>
  <c r="D25" i="44"/>
  <c r="C25" i="44"/>
  <c r="AF24" i="44"/>
  <c r="AE24" i="44"/>
  <c r="AD24" i="44"/>
  <c r="AC24" i="44"/>
  <c r="AB24" i="44"/>
  <c r="AA24" i="44"/>
  <c r="Z24" i="44"/>
  <c r="Y24" i="44"/>
  <c r="X24" i="44"/>
  <c r="W24" i="44"/>
  <c r="V24" i="44"/>
  <c r="D24" i="44"/>
  <c r="D23" i="44"/>
  <c r="C23" i="44"/>
  <c r="AF22" i="44"/>
  <c r="AE22" i="44"/>
  <c r="AD22" i="44"/>
  <c r="AC22" i="44"/>
  <c r="AB22" i="44"/>
  <c r="AA22" i="44"/>
  <c r="Z22" i="44"/>
  <c r="Y22" i="44"/>
  <c r="X22" i="44"/>
  <c r="W22" i="44"/>
  <c r="V22" i="44"/>
  <c r="D22" i="44"/>
  <c r="D21" i="44"/>
  <c r="C21" i="44"/>
  <c r="AF20" i="44"/>
  <c r="AE20" i="44"/>
  <c r="AD20" i="44"/>
  <c r="AC20" i="44"/>
  <c r="AB20" i="44"/>
  <c r="AA20" i="44"/>
  <c r="Z20" i="44"/>
  <c r="Y20" i="44"/>
  <c r="X20" i="44"/>
  <c r="X43" i="44" s="1"/>
  <c r="W20" i="44"/>
  <c r="V20" i="44"/>
  <c r="D20" i="44"/>
  <c r="AF19" i="44"/>
  <c r="AF27" i="44" s="1"/>
  <c r="AE19" i="44"/>
  <c r="AD19" i="44"/>
  <c r="AC19" i="44"/>
  <c r="AB19" i="44"/>
  <c r="AA19" i="44"/>
  <c r="AA27" i="44" s="1"/>
  <c r="Z19" i="44"/>
  <c r="Y19" i="44"/>
  <c r="Y27" i="44" s="1"/>
  <c r="X19" i="44"/>
  <c r="X27" i="44" s="1"/>
  <c r="W19" i="44"/>
  <c r="W27" i="44" s="1"/>
  <c r="V19" i="44"/>
  <c r="D19" i="44"/>
  <c r="V18" i="44"/>
  <c r="W18" i="44" s="1"/>
  <c r="X18" i="44" s="1"/>
  <c r="Y18" i="44" s="1"/>
  <c r="Z18" i="44" s="1"/>
  <c r="AA18" i="44" s="1"/>
  <c r="AB18" i="44" s="1"/>
  <c r="AC18" i="44" s="1"/>
  <c r="AD18" i="44" s="1"/>
  <c r="AE18" i="44" s="1"/>
  <c r="AF18" i="44" s="1"/>
  <c r="F18" i="44"/>
  <c r="G18" i="44" s="1"/>
  <c r="H18" i="44" s="1"/>
  <c r="AD48" i="47"/>
  <c r="V48" i="44"/>
  <c r="AD80" i="47"/>
  <c r="G48" i="44"/>
  <c r="F48" i="44"/>
  <c r="E14" i="44"/>
  <c r="AA48" i="46"/>
  <c r="AA14" i="46"/>
  <c r="W14" i="45"/>
  <c r="X79" i="44"/>
  <c r="Z80" i="45"/>
  <c r="H48" i="44"/>
  <c r="AD14" i="47"/>
  <c r="AB79" i="46"/>
  <c r="Z48" i="45"/>
  <c r="V43" i="44" l="1"/>
  <c r="Z43" i="44"/>
  <c r="V27" i="44"/>
  <c r="Z27" i="44"/>
  <c r="D27" i="44"/>
  <c r="W43" i="44"/>
  <c r="AA43" i="44"/>
  <c r="C20" i="44"/>
  <c r="AE27" i="44"/>
  <c r="AC51" i="50"/>
  <c r="AD44" i="50"/>
  <c r="AD81" i="49"/>
  <c r="AE75" i="49"/>
  <c r="AM75" i="49"/>
  <c r="AM77" i="49"/>
  <c r="AL77" i="49"/>
  <c r="C22" i="44"/>
  <c r="AD27" i="44"/>
  <c r="AD43" i="44"/>
  <c r="Y49" i="48"/>
  <c r="Z42" i="48"/>
  <c r="AE73" i="47"/>
  <c r="AE40" i="47"/>
  <c r="AE3" i="47"/>
  <c r="Y81" i="47"/>
  <c r="Z75" i="47"/>
  <c r="AC43" i="44"/>
  <c r="F15" i="46"/>
  <c r="G5" i="46"/>
  <c r="AC74" i="46"/>
  <c r="AB3" i="46"/>
  <c r="Z80" i="46"/>
  <c r="AA75" i="46"/>
  <c r="AA78" i="46" s="1"/>
  <c r="X44" i="46"/>
  <c r="X47" i="46"/>
  <c r="G44" i="46"/>
  <c r="AB40" i="46"/>
  <c r="X3" i="45"/>
  <c r="F15" i="45"/>
  <c r="G5" i="45"/>
  <c r="X77" i="45"/>
  <c r="AA73" i="45"/>
  <c r="U49" i="45"/>
  <c r="V42" i="45"/>
  <c r="AA40" i="45"/>
  <c r="C26" i="44"/>
  <c r="C61" i="44"/>
  <c r="AB43" i="44"/>
  <c r="AB27" i="44"/>
  <c r="V44" i="44"/>
  <c r="F80" i="44"/>
  <c r="G75" i="44"/>
  <c r="G78" i="44" s="1"/>
  <c r="Y74" i="44"/>
  <c r="AC27" i="44"/>
  <c r="E47" i="44"/>
  <c r="C24" i="44"/>
  <c r="W40" i="44"/>
  <c r="Y43" i="44"/>
  <c r="C76" i="44"/>
  <c r="C78" i="44" s="1"/>
  <c r="V80" i="44"/>
  <c r="W75" i="44"/>
  <c r="W78" i="44" s="1"/>
  <c r="C19" i="44"/>
  <c r="C12" i="44"/>
  <c r="C11" i="44"/>
  <c r="AM10" i="44"/>
  <c r="AK10" i="44"/>
  <c r="AJ10" i="44"/>
  <c r="AI10" i="44"/>
  <c r="AH10" i="44"/>
  <c r="C10" i="44"/>
  <c r="C9" i="44"/>
  <c r="E8" i="44"/>
  <c r="E13" i="44" s="1"/>
  <c r="D7" i="44"/>
  <c r="D6" i="44"/>
  <c r="X3" i="44"/>
  <c r="W3" i="44"/>
  <c r="V3" i="44"/>
  <c r="G3" i="44"/>
  <c r="F3" i="44"/>
  <c r="C78" i="43"/>
  <c r="F77" i="43"/>
  <c r="H76" i="43"/>
  <c r="D76" i="43" s="1"/>
  <c r="E76" i="43"/>
  <c r="E77" i="43" s="1"/>
  <c r="AL75" i="43"/>
  <c r="V75" i="43"/>
  <c r="V79" i="43" s="1"/>
  <c r="AH74" i="43"/>
  <c r="V73" i="43"/>
  <c r="F73" i="43"/>
  <c r="G73" i="43" s="1"/>
  <c r="H73" i="43" s="1"/>
  <c r="W63" i="43"/>
  <c r="X63" i="43" s="1"/>
  <c r="Y63" i="43" s="1"/>
  <c r="Z63" i="43" s="1"/>
  <c r="AA63" i="43" s="1"/>
  <c r="AB63" i="43" s="1"/>
  <c r="AC63" i="43" s="1"/>
  <c r="AD63" i="43" s="1"/>
  <c r="AE63" i="43" s="1"/>
  <c r="AF63" i="43" s="1"/>
  <c r="V63" i="43"/>
  <c r="G63" i="43"/>
  <c r="H63" i="43" s="1"/>
  <c r="F63" i="43"/>
  <c r="W61" i="43"/>
  <c r="C61" i="43" s="1"/>
  <c r="D61" i="43"/>
  <c r="H60" i="43"/>
  <c r="G60" i="43"/>
  <c r="D60" i="43" s="1"/>
  <c r="F60" i="43"/>
  <c r="D59" i="43"/>
  <c r="C59" i="43"/>
  <c r="AG58" i="43"/>
  <c r="AF58" i="43"/>
  <c r="AE58" i="43"/>
  <c r="AD58" i="43"/>
  <c r="AC58" i="43"/>
  <c r="AB58" i="43"/>
  <c r="AA58" i="43"/>
  <c r="Z58" i="43"/>
  <c r="Y58" i="43"/>
  <c r="X58" i="43"/>
  <c r="W58" i="43"/>
  <c r="V58" i="43"/>
  <c r="U58" i="43"/>
  <c r="D58" i="43"/>
  <c r="D57" i="43"/>
  <c r="C57" i="43"/>
  <c r="D56" i="43"/>
  <c r="C56" i="43"/>
  <c r="D55" i="43"/>
  <c r="D54" i="43"/>
  <c r="D53" i="43"/>
  <c r="D52" i="43"/>
  <c r="V51" i="43"/>
  <c r="W51" i="43" s="1"/>
  <c r="X51" i="43" s="1"/>
  <c r="Y51" i="43" s="1"/>
  <c r="Z51" i="43" s="1"/>
  <c r="AA51" i="43" s="1"/>
  <c r="AB51" i="43" s="1"/>
  <c r="AC51" i="43" s="1"/>
  <c r="AD51" i="43" s="1"/>
  <c r="AE51" i="43" s="1"/>
  <c r="AF51" i="43" s="1"/>
  <c r="F51" i="43"/>
  <c r="G51" i="43" s="1"/>
  <c r="H51" i="43" s="1"/>
  <c r="AG49" i="43"/>
  <c r="V80" i="43"/>
  <c r="S48" i="43"/>
  <c r="AE14" i="47"/>
  <c r="AB14" i="46"/>
  <c r="AE48" i="47"/>
  <c r="E48" i="43"/>
  <c r="AB48" i="46"/>
  <c r="T48" i="43"/>
  <c r="X14" i="45"/>
  <c r="Y79" i="44"/>
  <c r="AE80" i="47"/>
  <c r="F14" i="44"/>
  <c r="AA80" i="45"/>
  <c r="X14" i="44"/>
  <c r="W14" i="44"/>
  <c r="V14" i="44"/>
  <c r="W48" i="44"/>
  <c r="G14" i="44"/>
  <c r="AC79" i="46"/>
  <c r="U48" i="43"/>
  <c r="AA48" i="45"/>
  <c r="AD46" i="50" l="1"/>
  <c r="AD49" i="50" s="1"/>
  <c r="AE79" i="49"/>
  <c r="AE77" i="49"/>
  <c r="C58" i="43"/>
  <c r="Z44" i="48"/>
  <c r="Z47" i="48" s="1"/>
  <c r="Z77" i="47"/>
  <c r="Z79" i="47" s="1"/>
  <c r="AF73" i="47"/>
  <c r="AF3" i="47"/>
  <c r="AF40" i="47"/>
  <c r="C43" i="44"/>
  <c r="C27" i="44"/>
  <c r="G8" i="46"/>
  <c r="G13" i="46" s="1"/>
  <c r="AC40" i="46"/>
  <c r="AD74" i="46"/>
  <c r="AA80" i="46"/>
  <c r="AB75" i="46"/>
  <c r="AB78" i="46" s="1"/>
  <c r="AC3" i="46"/>
  <c r="X49" i="46"/>
  <c r="Y42" i="46"/>
  <c r="G47" i="46"/>
  <c r="AB40" i="45"/>
  <c r="Y3" i="45"/>
  <c r="G8" i="45"/>
  <c r="G13" i="45" s="1"/>
  <c r="AB73" i="45"/>
  <c r="X79" i="45"/>
  <c r="E15" i="44"/>
  <c r="F5" i="44"/>
  <c r="W80" i="44"/>
  <c r="X75" i="44"/>
  <c r="X78" i="44" s="1"/>
  <c r="E49" i="44"/>
  <c r="F42" i="44"/>
  <c r="G80" i="44"/>
  <c r="H75" i="44"/>
  <c r="H78" i="44" s="1"/>
  <c r="H80" i="44" s="1"/>
  <c r="V47" i="44"/>
  <c r="X40" i="44"/>
  <c r="Z74" i="44"/>
  <c r="H3" i="44"/>
  <c r="Y3" i="44"/>
  <c r="V81" i="43"/>
  <c r="W75" i="43"/>
  <c r="W73" i="43"/>
  <c r="H77" i="43"/>
  <c r="D77" i="43" s="1"/>
  <c r="AK47" i="43"/>
  <c r="AJ47" i="43"/>
  <c r="AI47" i="43"/>
  <c r="AH47" i="43"/>
  <c r="S47" i="43"/>
  <c r="S49" i="43" s="1"/>
  <c r="AK46" i="43"/>
  <c r="AJ46" i="43"/>
  <c r="AI46" i="43"/>
  <c r="AF46" i="43"/>
  <c r="C46" i="43" s="1"/>
  <c r="T46" i="43"/>
  <c r="AE45" i="43"/>
  <c r="C45" i="43" s="1"/>
  <c r="S44" i="43"/>
  <c r="H43" i="43"/>
  <c r="D43" i="43" s="1"/>
  <c r="E43" i="43"/>
  <c r="T42" i="43"/>
  <c r="T47" i="43" s="1"/>
  <c r="AH41" i="43"/>
  <c r="V40" i="43"/>
  <c r="W40" i="43" s="1"/>
  <c r="X40" i="43" s="1"/>
  <c r="F40" i="43"/>
  <c r="G40" i="43" s="1"/>
  <c r="V30" i="43"/>
  <c r="W30" i="43" s="1"/>
  <c r="X30" i="43" s="1"/>
  <c r="Y30" i="43" s="1"/>
  <c r="Z30" i="43" s="1"/>
  <c r="AA30" i="43" s="1"/>
  <c r="AB30" i="43" s="1"/>
  <c r="AC30" i="43" s="1"/>
  <c r="AD30" i="43" s="1"/>
  <c r="AE30" i="43" s="1"/>
  <c r="AF30" i="43" s="1"/>
  <c r="F30" i="43"/>
  <c r="G30" i="43" s="1"/>
  <c r="H30" i="43" s="1"/>
  <c r="D28" i="43"/>
  <c r="C28" i="43"/>
  <c r="H27" i="43"/>
  <c r="G27" i="43"/>
  <c r="E27" i="43"/>
  <c r="D27" i="43"/>
  <c r="D26" i="43"/>
  <c r="C26" i="43"/>
  <c r="D25" i="43"/>
  <c r="C25" i="43"/>
  <c r="AF24" i="43"/>
  <c r="AE24" i="43"/>
  <c r="AD24" i="43"/>
  <c r="AC24" i="43"/>
  <c r="AB24" i="43"/>
  <c r="AA24" i="43"/>
  <c r="Z24" i="43"/>
  <c r="Y24" i="43"/>
  <c r="X24" i="43"/>
  <c r="W24" i="43"/>
  <c r="V24" i="43"/>
  <c r="U24" i="43"/>
  <c r="D24" i="43"/>
  <c r="D23" i="43"/>
  <c r="C23" i="43"/>
  <c r="D22" i="43"/>
  <c r="C22" i="43"/>
  <c r="D21" i="43"/>
  <c r="C21" i="43"/>
  <c r="D20" i="43"/>
  <c r="D19" i="43"/>
  <c r="V18" i="43"/>
  <c r="W18" i="43" s="1"/>
  <c r="X18" i="43" s="1"/>
  <c r="Y18" i="43" s="1"/>
  <c r="Z18" i="43" s="1"/>
  <c r="AA18" i="43" s="1"/>
  <c r="AB18" i="43" s="1"/>
  <c r="AC18" i="43" s="1"/>
  <c r="AD18" i="43" s="1"/>
  <c r="AE18" i="43" s="1"/>
  <c r="AF18" i="43" s="1"/>
  <c r="F18" i="43"/>
  <c r="G18" i="43" s="1"/>
  <c r="H18" i="43" s="1"/>
  <c r="W48" i="43"/>
  <c r="AB80" i="45"/>
  <c r="AD79" i="46"/>
  <c r="X48" i="44"/>
  <c r="AF14" i="47"/>
  <c r="Y14" i="45"/>
  <c r="X48" i="43"/>
  <c r="AF80" i="47"/>
  <c r="S14" i="43"/>
  <c r="F48" i="43"/>
  <c r="Y14" i="44"/>
  <c r="W80" i="43"/>
  <c r="E14" i="43"/>
  <c r="G48" i="43"/>
  <c r="AF48" i="47"/>
  <c r="AB48" i="45"/>
  <c r="T14" i="43"/>
  <c r="H14" i="44"/>
  <c r="U14" i="43"/>
  <c r="V48" i="43"/>
  <c r="Z79" i="44"/>
  <c r="AC14" i="46"/>
  <c r="AC48" i="46"/>
  <c r="T49" i="43" l="1"/>
  <c r="U42" i="43"/>
  <c r="U47" i="43" s="1"/>
  <c r="AD51" i="50"/>
  <c r="AE44" i="50"/>
  <c r="AL42" i="50"/>
  <c r="AM41" i="50"/>
  <c r="AL43" i="50"/>
  <c r="AM43" i="50"/>
  <c r="AE81" i="49"/>
  <c r="AF75" i="49"/>
  <c r="C24" i="43"/>
  <c r="Z49" i="48"/>
  <c r="AA42" i="48"/>
  <c r="Z81" i="47"/>
  <c r="AA75" i="47"/>
  <c r="AM78" i="47"/>
  <c r="AL78" i="47"/>
  <c r="Y47" i="46"/>
  <c r="Y44" i="46"/>
  <c r="G49" i="46"/>
  <c r="H42" i="46"/>
  <c r="AB80" i="46"/>
  <c r="AC75" i="46"/>
  <c r="AC78" i="46" s="1"/>
  <c r="AD3" i="46"/>
  <c r="AE74" i="46"/>
  <c r="G15" i="46"/>
  <c r="H5" i="46"/>
  <c r="AD40" i="46"/>
  <c r="X81" i="45"/>
  <c r="Y75" i="45"/>
  <c r="G15" i="45"/>
  <c r="H5" i="45"/>
  <c r="AC40" i="45"/>
  <c r="AC73" i="45"/>
  <c r="Z3" i="45"/>
  <c r="F44" i="44"/>
  <c r="F47" i="44" s="1"/>
  <c r="Z3" i="44"/>
  <c r="AA74" i="44"/>
  <c r="V49" i="44"/>
  <c r="W42" i="44"/>
  <c r="X80" i="44"/>
  <c r="Y75" i="44"/>
  <c r="Y78" i="44" s="1"/>
  <c r="Y40" i="44"/>
  <c r="F8" i="44"/>
  <c r="H40" i="43"/>
  <c r="Y40" i="43"/>
  <c r="U49" i="43"/>
  <c r="V42" i="43"/>
  <c r="W79" i="43"/>
  <c r="W77" i="43"/>
  <c r="X73" i="43"/>
  <c r="S13" i="43"/>
  <c r="S15" i="43" s="1"/>
  <c r="C12" i="43"/>
  <c r="C11" i="43"/>
  <c r="AM10" i="43"/>
  <c r="AK10" i="43"/>
  <c r="AJ10" i="43"/>
  <c r="AI10" i="43"/>
  <c r="AH10" i="43"/>
  <c r="C10" i="43"/>
  <c r="C9" i="43"/>
  <c r="E8" i="43"/>
  <c r="E13" i="43" s="1"/>
  <c r="D7" i="43"/>
  <c r="D6" i="43"/>
  <c r="T5" i="43"/>
  <c r="T13" i="43" s="1"/>
  <c r="V3" i="43"/>
  <c r="F3" i="43"/>
  <c r="G3" i="43" s="1"/>
  <c r="C53" i="24"/>
  <c r="C52" i="24"/>
  <c r="C44" i="24"/>
  <c r="C33" i="24"/>
  <c r="C9" i="24"/>
  <c r="C15" i="24"/>
  <c r="C12" i="24"/>
  <c r="C18" i="24"/>
  <c r="C6" i="24"/>
  <c r="C77" i="42"/>
  <c r="F76" i="42"/>
  <c r="E76" i="42"/>
  <c r="E78" i="42" s="1"/>
  <c r="D76" i="42"/>
  <c r="V75" i="42"/>
  <c r="V74" i="42"/>
  <c r="W74" i="42" s="1"/>
  <c r="F74" i="42"/>
  <c r="G74" i="42" s="1"/>
  <c r="H74" i="42" s="1"/>
  <c r="AH71" i="42"/>
  <c r="V64" i="42"/>
  <c r="W64" i="42" s="1"/>
  <c r="X64" i="42" s="1"/>
  <c r="Y64" i="42" s="1"/>
  <c r="Z64" i="42" s="1"/>
  <c r="AA64" i="42" s="1"/>
  <c r="AB64" i="42" s="1"/>
  <c r="AC64" i="42" s="1"/>
  <c r="AD64" i="42" s="1"/>
  <c r="AE64" i="42" s="1"/>
  <c r="AF64" i="42" s="1"/>
  <c r="G64" i="42"/>
  <c r="H64" i="42" s="1"/>
  <c r="F64" i="42"/>
  <c r="W62" i="42"/>
  <c r="D62" i="42"/>
  <c r="C62" i="42"/>
  <c r="H61" i="42"/>
  <c r="D61" i="42" s="1"/>
  <c r="G61" i="42"/>
  <c r="F61" i="42"/>
  <c r="E61" i="42"/>
  <c r="AF60" i="42"/>
  <c r="AE60" i="42"/>
  <c r="AD60" i="42"/>
  <c r="AC60" i="42"/>
  <c r="AB60" i="42"/>
  <c r="AA60" i="42"/>
  <c r="Z60" i="42"/>
  <c r="Y60" i="42"/>
  <c r="X60" i="42"/>
  <c r="W60" i="42"/>
  <c r="V60" i="42"/>
  <c r="D60" i="42"/>
  <c r="AF59" i="42"/>
  <c r="AE59" i="42"/>
  <c r="AD59" i="42"/>
  <c r="AC59" i="42"/>
  <c r="AB59" i="42"/>
  <c r="AA59" i="42"/>
  <c r="Z59" i="42"/>
  <c r="Y59" i="42"/>
  <c r="X59" i="42"/>
  <c r="W59" i="42"/>
  <c r="V59" i="42"/>
  <c r="D59" i="42"/>
  <c r="AF58" i="42"/>
  <c r="AE58" i="42"/>
  <c r="AD58" i="42"/>
  <c r="AC58" i="42"/>
  <c r="AB58" i="42"/>
  <c r="AA58" i="42"/>
  <c r="Z58" i="42"/>
  <c r="Y58" i="42"/>
  <c r="X58" i="42"/>
  <c r="W58" i="42"/>
  <c r="V58" i="42"/>
  <c r="D58" i="42"/>
  <c r="AF57" i="42"/>
  <c r="AE57" i="42"/>
  <c r="AD57" i="42"/>
  <c r="AC57" i="42"/>
  <c r="AB57" i="42"/>
  <c r="AA57" i="42"/>
  <c r="Z57" i="42"/>
  <c r="Y57" i="42"/>
  <c r="X57" i="42"/>
  <c r="W57" i="42"/>
  <c r="V57" i="42"/>
  <c r="D57" i="42"/>
  <c r="AF56" i="42"/>
  <c r="AE56" i="42"/>
  <c r="AD56" i="42"/>
  <c r="AC56" i="42"/>
  <c r="AB56" i="42"/>
  <c r="AA56" i="42"/>
  <c r="Z56" i="42"/>
  <c r="Y56" i="42"/>
  <c r="X56" i="42"/>
  <c r="W56" i="42"/>
  <c r="V56" i="42"/>
  <c r="D56" i="42"/>
  <c r="AF55" i="42"/>
  <c r="AE55" i="42"/>
  <c r="AD55" i="42"/>
  <c r="AC55" i="42"/>
  <c r="AB55" i="42"/>
  <c r="AA55" i="42"/>
  <c r="Z55" i="42"/>
  <c r="Y55" i="42"/>
  <c r="X55" i="42"/>
  <c r="W55" i="42"/>
  <c r="V55" i="42"/>
  <c r="D55" i="42"/>
  <c r="AF54" i="42"/>
  <c r="AE54" i="42"/>
  <c r="AD54" i="42"/>
  <c r="AC54" i="42"/>
  <c r="AB54" i="42"/>
  <c r="AA54" i="42"/>
  <c r="Z54" i="42"/>
  <c r="Y54" i="42"/>
  <c r="X54" i="42"/>
  <c r="W54" i="42"/>
  <c r="V54" i="42"/>
  <c r="D54" i="42"/>
  <c r="AF53" i="42"/>
  <c r="AF61" i="42" s="1"/>
  <c r="AE53" i="42"/>
  <c r="AE61" i="42" s="1"/>
  <c r="AD53" i="42"/>
  <c r="AC53" i="42"/>
  <c r="AC76" i="42" s="1"/>
  <c r="AB53" i="42"/>
  <c r="AA53" i="42"/>
  <c r="Z53" i="42"/>
  <c r="Z61" i="42" s="1"/>
  <c r="Y53" i="42"/>
  <c r="Y76" i="42" s="1"/>
  <c r="X53" i="42"/>
  <c r="X61" i="42" s="1"/>
  <c r="W53" i="42"/>
  <c r="W61" i="42" s="1"/>
  <c r="V53" i="42"/>
  <c r="V61" i="42" s="1"/>
  <c r="D53" i="42"/>
  <c r="V52" i="42"/>
  <c r="W52" i="42" s="1"/>
  <c r="X52" i="42" s="1"/>
  <c r="Y52" i="42" s="1"/>
  <c r="Z52" i="42" s="1"/>
  <c r="AA52" i="42" s="1"/>
  <c r="AB52" i="42" s="1"/>
  <c r="AC52" i="42" s="1"/>
  <c r="AD52" i="42" s="1"/>
  <c r="AE52" i="42" s="1"/>
  <c r="AF52" i="42" s="1"/>
  <c r="F52" i="42"/>
  <c r="G52" i="42" s="1"/>
  <c r="H52" i="42" s="1"/>
  <c r="H79" i="42"/>
  <c r="AD14" i="46"/>
  <c r="Z14" i="45"/>
  <c r="AD48" i="46"/>
  <c r="AE79" i="46"/>
  <c r="V79" i="42"/>
  <c r="F14" i="43"/>
  <c r="Y48" i="44"/>
  <c r="X80" i="43"/>
  <c r="AC48" i="45"/>
  <c r="AA79" i="44"/>
  <c r="H48" i="43"/>
  <c r="AC80" i="45"/>
  <c r="E79" i="42"/>
  <c r="G14" i="43"/>
  <c r="Y48" i="43"/>
  <c r="E48" i="42"/>
  <c r="V14" i="43"/>
  <c r="F79" i="42"/>
  <c r="G79" i="42"/>
  <c r="Z14" i="44"/>
  <c r="W79" i="42"/>
  <c r="T15" i="43" l="1"/>
  <c r="U5" i="43"/>
  <c r="W76" i="42"/>
  <c r="X76" i="42"/>
  <c r="AB76" i="42"/>
  <c r="C54" i="42"/>
  <c r="C56" i="42"/>
  <c r="AM47" i="50"/>
  <c r="AE46" i="50"/>
  <c r="AE49" i="50" s="1"/>
  <c r="AF77" i="49"/>
  <c r="AF79" i="49" s="1"/>
  <c r="AF81" i="49" s="1"/>
  <c r="C55" i="42"/>
  <c r="AD61" i="42"/>
  <c r="C58" i="42"/>
  <c r="AA44" i="48"/>
  <c r="AA47" i="48" s="1"/>
  <c r="AA77" i="47"/>
  <c r="AA79" i="47" s="1"/>
  <c r="AE3" i="46"/>
  <c r="H8" i="46"/>
  <c r="D8" i="46" s="1"/>
  <c r="AF74" i="46"/>
  <c r="Y49" i="46"/>
  <c r="Z42" i="46"/>
  <c r="AC80" i="46"/>
  <c r="AD75" i="46"/>
  <c r="AD78" i="46" s="1"/>
  <c r="AE40" i="46"/>
  <c r="H44" i="46"/>
  <c r="D44" i="46" s="1"/>
  <c r="AD73" i="45"/>
  <c r="H13" i="45"/>
  <c r="H15" i="45" s="1"/>
  <c r="H8" i="45"/>
  <c r="D8" i="45" s="1"/>
  <c r="Y79" i="45"/>
  <c r="Y77" i="45"/>
  <c r="AA3" i="45"/>
  <c r="AD40" i="45"/>
  <c r="AB61" i="42"/>
  <c r="F49" i="44"/>
  <c r="G42" i="44"/>
  <c r="W44" i="44"/>
  <c r="W47" i="44" s="1"/>
  <c r="Z40" i="44"/>
  <c r="AA3" i="44"/>
  <c r="F13" i="44"/>
  <c r="Y80" i="44"/>
  <c r="Z75" i="44"/>
  <c r="Z78" i="44" s="1"/>
  <c r="AB74" i="44"/>
  <c r="H3" i="43"/>
  <c r="E15" i="43"/>
  <c r="F5" i="43"/>
  <c r="W81" i="43"/>
  <c r="X75" i="43"/>
  <c r="Y73" i="43"/>
  <c r="Z40" i="43"/>
  <c r="W3" i="43"/>
  <c r="C60" i="42"/>
  <c r="C59" i="42"/>
  <c r="AA76" i="42"/>
  <c r="C57" i="42"/>
  <c r="AA61" i="42"/>
  <c r="X74" i="42"/>
  <c r="E80" i="42"/>
  <c r="F75" i="42"/>
  <c r="F78" i="42" s="1"/>
  <c r="AC61" i="42"/>
  <c r="C53" i="42"/>
  <c r="V76" i="42"/>
  <c r="Z76" i="42"/>
  <c r="AD76" i="42"/>
  <c r="Y61" i="42"/>
  <c r="AF46" i="42"/>
  <c r="C46" i="42" s="1"/>
  <c r="AE45" i="42"/>
  <c r="C45" i="42"/>
  <c r="AM44" i="42"/>
  <c r="AL44" i="42"/>
  <c r="AK44" i="42"/>
  <c r="AJ44" i="42"/>
  <c r="AI44" i="42"/>
  <c r="AH44" i="42"/>
  <c r="AK43" i="42"/>
  <c r="AJ43" i="42"/>
  <c r="AI43" i="42"/>
  <c r="F43" i="42"/>
  <c r="E43" i="42"/>
  <c r="D43" i="42"/>
  <c r="V42" i="42"/>
  <c r="V40" i="42"/>
  <c r="F40" i="42"/>
  <c r="G40" i="42" s="1"/>
  <c r="AH38" i="42"/>
  <c r="V30" i="42"/>
  <c r="W30" i="42" s="1"/>
  <c r="X30" i="42" s="1"/>
  <c r="Y30" i="42" s="1"/>
  <c r="Z30" i="42" s="1"/>
  <c r="AA30" i="42" s="1"/>
  <c r="AB30" i="42" s="1"/>
  <c r="AC30" i="42" s="1"/>
  <c r="AD30" i="42" s="1"/>
  <c r="AE30" i="42" s="1"/>
  <c r="AF30" i="42" s="1"/>
  <c r="F30" i="42"/>
  <c r="G30" i="42" s="1"/>
  <c r="H30" i="42" s="1"/>
  <c r="D28" i="42"/>
  <c r="C28" i="42"/>
  <c r="H27" i="42"/>
  <c r="D27" i="42" s="1"/>
  <c r="G27" i="42"/>
  <c r="F27" i="42"/>
  <c r="E27" i="42"/>
  <c r="AF26" i="42"/>
  <c r="AE26" i="42"/>
  <c r="AD26" i="42"/>
  <c r="AC26" i="42"/>
  <c r="AB26" i="42"/>
  <c r="AA26" i="42"/>
  <c r="Z26" i="42"/>
  <c r="Y26" i="42"/>
  <c r="X26" i="42"/>
  <c r="W26" i="42"/>
  <c r="V26" i="42"/>
  <c r="D26" i="42"/>
  <c r="D25" i="42"/>
  <c r="C25" i="42"/>
  <c r="AF24" i="42"/>
  <c r="AE24" i="42"/>
  <c r="AD24" i="42"/>
  <c r="AC24" i="42"/>
  <c r="AB24" i="42"/>
  <c r="AA24" i="42"/>
  <c r="Z24" i="42"/>
  <c r="Y24" i="42"/>
  <c r="X24" i="42"/>
  <c r="W24" i="42"/>
  <c r="V24" i="42"/>
  <c r="D24" i="42"/>
  <c r="D23" i="42"/>
  <c r="C23" i="42"/>
  <c r="AF22" i="42"/>
  <c r="AE22" i="42"/>
  <c r="AD22" i="42"/>
  <c r="AC22" i="42"/>
  <c r="AB22" i="42"/>
  <c r="AA22" i="42"/>
  <c r="Z22" i="42"/>
  <c r="Y22" i="42"/>
  <c r="X22" i="42"/>
  <c r="W22" i="42"/>
  <c r="V22" i="42"/>
  <c r="D22" i="42"/>
  <c r="D21" i="42"/>
  <c r="C21" i="42"/>
  <c r="AF20" i="42"/>
  <c r="AE20" i="42"/>
  <c r="AD20" i="42"/>
  <c r="AC20" i="42"/>
  <c r="AB20" i="42"/>
  <c r="AA20" i="42"/>
  <c r="Z20" i="42"/>
  <c r="Y20" i="42"/>
  <c r="X20" i="42"/>
  <c r="W20" i="42"/>
  <c r="V20" i="42"/>
  <c r="D20" i="42"/>
  <c r="AF19" i="42"/>
  <c r="AF27" i="42" s="1"/>
  <c r="AE19" i="42"/>
  <c r="AD19" i="42"/>
  <c r="AC19" i="42"/>
  <c r="AB19" i="42"/>
  <c r="AA19" i="42"/>
  <c r="Z19" i="42"/>
  <c r="Z43" i="42" s="1"/>
  <c r="Y19" i="42"/>
  <c r="Y43" i="42" s="1"/>
  <c r="X19" i="42"/>
  <c r="X27" i="42" s="1"/>
  <c r="W19" i="42"/>
  <c r="W27" i="42" s="1"/>
  <c r="V19" i="42"/>
  <c r="V43" i="42" s="1"/>
  <c r="D19" i="42"/>
  <c r="V18" i="42"/>
  <c r="W18" i="42" s="1"/>
  <c r="X18" i="42" s="1"/>
  <c r="Y18" i="42" s="1"/>
  <c r="Z18" i="42" s="1"/>
  <c r="AA18" i="42" s="1"/>
  <c r="AB18" i="42" s="1"/>
  <c r="AC18" i="42" s="1"/>
  <c r="AD18" i="42" s="1"/>
  <c r="AE18" i="42" s="1"/>
  <c r="AF18" i="42" s="1"/>
  <c r="F18" i="42"/>
  <c r="G18" i="42" s="1"/>
  <c r="H18" i="42" s="1"/>
  <c r="V48" i="42"/>
  <c r="AE14" i="46"/>
  <c r="H14" i="43"/>
  <c r="Y80" i="43"/>
  <c r="AD80" i="45"/>
  <c r="F48" i="42"/>
  <c r="AA14" i="45"/>
  <c r="AA14" i="44"/>
  <c r="AE48" i="46"/>
  <c r="AD48" i="45"/>
  <c r="W14" i="43"/>
  <c r="Z48" i="43"/>
  <c r="G48" i="42"/>
  <c r="X79" i="42"/>
  <c r="AF79" i="46"/>
  <c r="E14" i="42"/>
  <c r="AB79" i="44"/>
  <c r="Z48" i="44"/>
  <c r="X43" i="42" l="1"/>
  <c r="H47" i="46"/>
  <c r="H49" i="46" s="1"/>
  <c r="H13" i="46"/>
  <c r="H15" i="46" s="1"/>
  <c r="Z27" i="42"/>
  <c r="W43" i="42"/>
  <c r="AE27" i="42"/>
  <c r="AE51" i="50"/>
  <c r="AF44" i="50"/>
  <c r="C77" i="49"/>
  <c r="AL76" i="49"/>
  <c r="AM81" i="49" s="1"/>
  <c r="AD43" i="42"/>
  <c r="AD27" i="42"/>
  <c r="C20" i="42"/>
  <c r="AA49" i="48"/>
  <c r="AB42" i="48"/>
  <c r="AA81" i="47"/>
  <c r="AB75" i="47"/>
  <c r="AC43" i="42"/>
  <c r="Z44" i="46"/>
  <c r="Z47" i="46" s="1"/>
  <c r="AF40" i="46"/>
  <c r="AF3" i="46"/>
  <c r="AD80" i="46"/>
  <c r="AE75" i="46"/>
  <c r="AE78" i="46" s="1"/>
  <c r="AM73" i="46"/>
  <c r="AM72" i="46"/>
  <c r="AL72" i="46"/>
  <c r="AL73" i="46"/>
  <c r="Y81" i="45"/>
  <c r="Z75" i="45"/>
  <c r="AE40" i="45"/>
  <c r="AE73" i="45"/>
  <c r="AB3" i="45"/>
  <c r="AB43" i="42"/>
  <c r="AB27" i="42"/>
  <c r="W49" i="44"/>
  <c r="X42" i="44"/>
  <c r="AB3" i="44"/>
  <c r="Z80" i="44"/>
  <c r="AA75" i="44"/>
  <c r="AA78" i="44" s="1"/>
  <c r="G44" i="44"/>
  <c r="G47" i="44" s="1"/>
  <c r="AC74" i="44"/>
  <c r="AA40" i="44"/>
  <c r="F15" i="44"/>
  <c r="G5" i="44"/>
  <c r="Z73" i="43"/>
  <c r="AA40" i="43"/>
  <c r="X77" i="43"/>
  <c r="X79" i="43" s="1"/>
  <c r="F8" i="43"/>
  <c r="F13" i="43" s="1"/>
  <c r="X3" i="43"/>
  <c r="C26" i="42"/>
  <c r="C24" i="42"/>
  <c r="AA43" i="42"/>
  <c r="C22" i="42"/>
  <c r="C61" i="42"/>
  <c r="AA27" i="42"/>
  <c r="V44" i="42"/>
  <c r="V47" i="42" s="1"/>
  <c r="H40" i="42"/>
  <c r="Y74" i="42"/>
  <c r="V27" i="42"/>
  <c r="E44" i="42"/>
  <c r="E47" i="42" s="1"/>
  <c r="C19" i="42"/>
  <c r="Y27" i="42"/>
  <c r="AC27" i="42"/>
  <c r="F80" i="42"/>
  <c r="G75" i="42"/>
  <c r="G78" i="42" s="1"/>
  <c r="W40" i="42"/>
  <c r="C76" i="42"/>
  <c r="C78" i="42" s="1"/>
  <c r="V78" i="42"/>
  <c r="C12" i="42"/>
  <c r="C11" i="42"/>
  <c r="AM10" i="42"/>
  <c r="AK10" i="42"/>
  <c r="AJ10" i="42"/>
  <c r="AI10" i="42"/>
  <c r="AH10" i="42"/>
  <c r="C10" i="42"/>
  <c r="C9" i="42"/>
  <c r="E8" i="42"/>
  <c r="E13" i="42" s="1"/>
  <c r="D7" i="42"/>
  <c r="D6" i="42"/>
  <c r="V3" i="42"/>
  <c r="F3" i="42"/>
  <c r="G3" i="42" s="1"/>
  <c r="H3" i="42" s="1"/>
  <c r="C78" i="41"/>
  <c r="F77" i="41"/>
  <c r="H76" i="41"/>
  <c r="D76" i="41" s="1"/>
  <c r="E76" i="41"/>
  <c r="E77" i="41" s="1"/>
  <c r="AL75" i="41"/>
  <c r="V75" i="41"/>
  <c r="V79" i="41" s="1"/>
  <c r="AH74" i="41"/>
  <c r="V73" i="41"/>
  <c r="W73" i="41" s="1"/>
  <c r="F73" i="41"/>
  <c r="G73" i="41" s="1"/>
  <c r="H73" i="41" s="1"/>
  <c r="V63" i="41"/>
  <c r="W63" i="41" s="1"/>
  <c r="X63" i="41" s="1"/>
  <c r="Y63" i="41" s="1"/>
  <c r="Z63" i="41" s="1"/>
  <c r="AA63" i="41" s="1"/>
  <c r="AB63" i="41" s="1"/>
  <c r="AC63" i="41" s="1"/>
  <c r="AD63" i="41" s="1"/>
  <c r="AE63" i="41" s="1"/>
  <c r="AF63" i="41" s="1"/>
  <c r="G63" i="41"/>
  <c r="H63" i="41" s="1"/>
  <c r="F63" i="41"/>
  <c r="W61" i="41"/>
  <c r="D61" i="41"/>
  <c r="C61" i="41"/>
  <c r="H60" i="41"/>
  <c r="G60" i="41"/>
  <c r="F60" i="41"/>
  <c r="D60" i="41" s="1"/>
  <c r="D59" i="41"/>
  <c r="C59" i="41"/>
  <c r="AG58" i="41"/>
  <c r="AF58" i="41"/>
  <c r="AE58" i="41"/>
  <c r="AD58" i="41"/>
  <c r="AC58" i="41"/>
  <c r="AB58" i="41"/>
  <c r="AA58" i="41"/>
  <c r="Z58" i="41"/>
  <c r="Y58" i="41"/>
  <c r="X58" i="41"/>
  <c r="W58" i="41"/>
  <c r="V58" i="41"/>
  <c r="U58" i="41"/>
  <c r="D58" i="41"/>
  <c r="D57" i="41"/>
  <c r="C57" i="41"/>
  <c r="D56" i="41"/>
  <c r="C56" i="41"/>
  <c r="D55" i="41"/>
  <c r="D54" i="41"/>
  <c r="D53" i="41"/>
  <c r="D52" i="41"/>
  <c r="V51" i="41"/>
  <c r="W51" i="41" s="1"/>
  <c r="X51" i="41" s="1"/>
  <c r="Y51" i="41" s="1"/>
  <c r="Z51" i="41" s="1"/>
  <c r="AA51" i="41" s="1"/>
  <c r="AB51" i="41" s="1"/>
  <c r="AC51" i="41" s="1"/>
  <c r="AD51" i="41" s="1"/>
  <c r="AE51" i="41" s="1"/>
  <c r="AF51" i="41" s="1"/>
  <c r="F51" i="41"/>
  <c r="G51" i="41" s="1"/>
  <c r="H51" i="41" s="1"/>
  <c r="AG49" i="41"/>
  <c r="AF48" i="46"/>
  <c r="AA48" i="44"/>
  <c r="V14" i="42"/>
  <c r="H48" i="42"/>
  <c r="Y79" i="42"/>
  <c r="AE80" i="45"/>
  <c r="W48" i="42"/>
  <c r="F14" i="42"/>
  <c r="AE48" i="45"/>
  <c r="X14" i="43"/>
  <c r="AA48" i="43"/>
  <c r="AC79" i="44"/>
  <c r="W80" i="41"/>
  <c r="AF14" i="46"/>
  <c r="AB14" i="45"/>
  <c r="T48" i="41"/>
  <c r="AB14" i="44"/>
  <c r="Z80" i="43"/>
  <c r="U48" i="41"/>
  <c r="E48" i="41"/>
  <c r="G14" i="42"/>
  <c r="S48" i="41"/>
  <c r="H14" i="42"/>
  <c r="V80" i="41"/>
  <c r="AF46" i="50" l="1"/>
  <c r="C46" i="50" s="1"/>
  <c r="C49" i="50" s="1"/>
  <c r="AB44" i="48"/>
  <c r="AB47" i="48" s="1"/>
  <c r="AB77" i="47"/>
  <c r="AB79" i="47" s="1"/>
  <c r="C43" i="42"/>
  <c r="Z49" i="46"/>
  <c r="AA42" i="46"/>
  <c r="AM42" i="46"/>
  <c r="AL42" i="46"/>
  <c r="AE80" i="46"/>
  <c r="AF75" i="46"/>
  <c r="AF78" i="46" s="1"/>
  <c r="AF80" i="46" s="1"/>
  <c r="AM76" i="46"/>
  <c r="AF73" i="45"/>
  <c r="Z77" i="45"/>
  <c r="Z79" i="45" s="1"/>
  <c r="AF40" i="45"/>
  <c r="AC3" i="45"/>
  <c r="AB40" i="44"/>
  <c r="G49" i="44"/>
  <c r="H42" i="44"/>
  <c r="AA80" i="44"/>
  <c r="AB75" i="44"/>
  <c r="AB78" i="44" s="1"/>
  <c r="AC3" i="44"/>
  <c r="G8" i="44"/>
  <c r="G13" i="44" s="1"/>
  <c r="AD74" i="44"/>
  <c r="X44" i="44"/>
  <c r="X47" i="44" s="1"/>
  <c r="F15" i="43"/>
  <c r="G5" i="43"/>
  <c r="AB40" i="43"/>
  <c r="Y3" i="43"/>
  <c r="AA73" i="43"/>
  <c r="X81" i="43"/>
  <c r="Y75" i="43"/>
  <c r="C58" i="41"/>
  <c r="E15" i="42"/>
  <c r="F5" i="42"/>
  <c r="V80" i="42"/>
  <c r="W75" i="42"/>
  <c r="W78" i="42" s="1"/>
  <c r="X40" i="42"/>
  <c r="E49" i="42"/>
  <c r="F42" i="42"/>
  <c r="C27" i="42"/>
  <c r="Z74" i="42"/>
  <c r="V49" i="42"/>
  <c r="W42" i="42"/>
  <c r="G80" i="42"/>
  <c r="H75" i="42"/>
  <c r="H78" i="42" s="1"/>
  <c r="H80" i="42" s="1"/>
  <c r="W3" i="42"/>
  <c r="V81" i="41"/>
  <c r="W75" i="41"/>
  <c r="X73" i="41"/>
  <c r="H77" i="41"/>
  <c r="D77" i="41" s="1"/>
  <c r="AK47" i="41"/>
  <c r="AJ47" i="41"/>
  <c r="AI47" i="41"/>
  <c r="AH47" i="41"/>
  <c r="AK46" i="41"/>
  <c r="AJ46" i="41"/>
  <c r="AI46" i="41"/>
  <c r="AF46" i="41"/>
  <c r="C46" i="41" s="1"/>
  <c r="T46" i="41"/>
  <c r="AE45" i="41"/>
  <c r="C45" i="41" s="1"/>
  <c r="S44" i="41"/>
  <c r="S47" i="41" s="1"/>
  <c r="H43" i="41"/>
  <c r="D43" i="41" s="1"/>
  <c r="E43" i="41"/>
  <c r="AH41" i="41"/>
  <c r="W40" i="41"/>
  <c r="V40" i="41"/>
  <c r="F40" i="41"/>
  <c r="V30" i="41"/>
  <c r="W30" i="41" s="1"/>
  <c r="X30" i="41" s="1"/>
  <c r="Y30" i="41" s="1"/>
  <c r="Z30" i="41" s="1"/>
  <c r="AA30" i="41" s="1"/>
  <c r="AB30" i="41" s="1"/>
  <c r="AC30" i="41" s="1"/>
  <c r="AD30" i="41" s="1"/>
  <c r="AE30" i="41" s="1"/>
  <c r="AF30" i="41" s="1"/>
  <c r="H30" i="41"/>
  <c r="G30" i="41"/>
  <c r="F30" i="41"/>
  <c r="D28" i="41"/>
  <c r="C28" i="41"/>
  <c r="H27" i="41"/>
  <c r="G27" i="41"/>
  <c r="D27" i="41" s="1"/>
  <c r="E27" i="41"/>
  <c r="D26" i="41"/>
  <c r="C26" i="41"/>
  <c r="D25" i="41"/>
  <c r="C25" i="41"/>
  <c r="AF24" i="41"/>
  <c r="AE24" i="41"/>
  <c r="AD24" i="41"/>
  <c r="AC24" i="41"/>
  <c r="AB24" i="41"/>
  <c r="AA24" i="41"/>
  <c r="Z24" i="41"/>
  <c r="Y24" i="41"/>
  <c r="X24" i="41"/>
  <c r="W24" i="41"/>
  <c r="V24" i="41"/>
  <c r="U24" i="41"/>
  <c r="D24" i="41"/>
  <c r="D23" i="41"/>
  <c r="C23" i="41"/>
  <c r="D22" i="41"/>
  <c r="C22" i="41"/>
  <c r="D21" i="41"/>
  <c r="C21" i="41"/>
  <c r="D20" i="41"/>
  <c r="D19" i="41"/>
  <c r="V18" i="41"/>
  <c r="W18" i="41" s="1"/>
  <c r="X18" i="41" s="1"/>
  <c r="Y18" i="41" s="1"/>
  <c r="Z18" i="41" s="1"/>
  <c r="AA18" i="41" s="1"/>
  <c r="AB18" i="41" s="1"/>
  <c r="AC18" i="41" s="1"/>
  <c r="AD18" i="41" s="1"/>
  <c r="AE18" i="41" s="1"/>
  <c r="AF18" i="41" s="1"/>
  <c r="G18" i="41"/>
  <c r="H18" i="41" s="1"/>
  <c r="F18" i="41"/>
  <c r="U14" i="41"/>
  <c r="W14" i="42"/>
  <c r="AB48" i="44"/>
  <c r="T14" i="41"/>
  <c r="AF48" i="45"/>
  <c r="AB48" i="43"/>
  <c r="AC14" i="45"/>
  <c r="Z79" i="42"/>
  <c r="V48" i="41"/>
  <c r="S14" i="41"/>
  <c r="AA80" i="43"/>
  <c r="Y14" i="43"/>
  <c r="F48" i="41"/>
  <c r="X80" i="41"/>
  <c r="E14" i="41"/>
  <c r="AC14" i="44"/>
  <c r="X48" i="42"/>
  <c r="W48" i="41"/>
  <c r="AF80" i="45"/>
  <c r="AD79" i="44"/>
  <c r="S49" i="41" l="1"/>
  <c r="T42" i="41"/>
  <c r="T47" i="41" s="1"/>
  <c r="AF49" i="50"/>
  <c r="AF51" i="50" s="1"/>
  <c r="C24" i="41"/>
  <c r="AB49" i="48"/>
  <c r="AC42" i="48"/>
  <c r="AB81" i="47"/>
  <c r="AC75" i="47"/>
  <c r="AA44" i="46"/>
  <c r="AA47" i="46" s="1"/>
  <c r="Z81" i="45"/>
  <c r="AA75" i="45"/>
  <c r="AD3" i="45"/>
  <c r="AM78" i="45"/>
  <c r="AL78" i="45"/>
  <c r="G15" i="44"/>
  <c r="H5" i="44"/>
  <c r="H44" i="44"/>
  <c r="D44" i="44" s="1"/>
  <c r="AD3" i="44"/>
  <c r="X49" i="44"/>
  <c r="Y42" i="44"/>
  <c r="AC40" i="44"/>
  <c r="AE74" i="44"/>
  <c r="AB80" i="44"/>
  <c r="AC75" i="44"/>
  <c r="AC78" i="44" s="1"/>
  <c r="AB73" i="43"/>
  <c r="AC40" i="43"/>
  <c r="Y77" i="43"/>
  <c r="Y79" i="43" s="1"/>
  <c r="Z3" i="43"/>
  <c r="G8" i="43"/>
  <c r="G13" i="43" s="1"/>
  <c r="F44" i="42"/>
  <c r="F47" i="42" s="1"/>
  <c r="X3" i="42"/>
  <c r="W44" i="42"/>
  <c r="W47" i="42" s="1"/>
  <c r="W80" i="42"/>
  <c r="X75" i="42"/>
  <c r="X78" i="42" s="1"/>
  <c r="Y40" i="42"/>
  <c r="F8" i="42"/>
  <c r="F13" i="42" s="1"/>
  <c r="AA74" i="42"/>
  <c r="W79" i="41"/>
  <c r="W77" i="41"/>
  <c r="Y73" i="41"/>
  <c r="G40" i="41"/>
  <c r="X40" i="41"/>
  <c r="S13" i="41"/>
  <c r="S15" i="41" s="1"/>
  <c r="C12" i="41"/>
  <c r="C11" i="41"/>
  <c r="AM10" i="41"/>
  <c r="AK10" i="41"/>
  <c r="AJ10" i="41"/>
  <c r="AI10" i="41"/>
  <c r="AH10" i="41"/>
  <c r="C10" i="41"/>
  <c r="C9" i="41"/>
  <c r="E8" i="41"/>
  <c r="E13" i="41" s="1"/>
  <c r="E15" i="41" s="1"/>
  <c r="D7" i="41"/>
  <c r="D6" i="41"/>
  <c r="T5" i="41"/>
  <c r="T13" i="41" s="1"/>
  <c r="V3" i="41"/>
  <c r="W3" i="41" s="1"/>
  <c r="X3" i="41" s="1"/>
  <c r="Y3" i="41" s="1"/>
  <c r="G3" i="41"/>
  <c r="F3" i="41"/>
  <c r="C44" i="22"/>
  <c r="C9" i="22"/>
  <c r="C5" i="22"/>
  <c r="C18" i="22"/>
  <c r="C15" i="22"/>
  <c r="C12" i="22"/>
  <c r="C8" i="22"/>
  <c r="C6" i="22"/>
  <c r="C4" i="22"/>
  <c r="C78" i="40"/>
  <c r="F77" i="40"/>
  <c r="H76" i="40"/>
  <c r="D76" i="40" s="1"/>
  <c r="E76" i="40"/>
  <c r="E77" i="40" s="1"/>
  <c r="AL75" i="40"/>
  <c r="V75" i="40"/>
  <c r="V79" i="40" s="1"/>
  <c r="AH74" i="40"/>
  <c r="V73" i="40"/>
  <c r="W73" i="40" s="1"/>
  <c r="F73" i="40"/>
  <c r="G73" i="40" s="1"/>
  <c r="H73" i="40" s="1"/>
  <c r="W63" i="40"/>
  <c r="X63" i="40" s="1"/>
  <c r="Y63" i="40" s="1"/>
  <c r="Z63" i="40" s="1"/>
  <c r="AA63" i="40" s="1"/>
  <c r="AB63" i="40" s="1"/>
  <c r="AC63" i="40" s="1"/>
  <c r="AD63" i="40" s="1"/>
  <c r="AE63" i="40" s="1"/>
  <c r="AF63" i="40" s="1"/>
  <c r="V63" i="40"/>
  <c r="F63" i="40"/>
  <c r="G63" i="40" s="1"/>
  <c r="H63" i="40" s="1"/>
  <c r="W61" i="40"/>
  <c r="C61" i="40" s="1"/>
  <c r="D61" i="40"/>
  <c r="H60" i="40"/>
  <c r="G60" i="40"/>
  <c r="D60" i="40" s="1"/>
  <c r="F60" i="40"/>
  <c r="D59" i="40"/>
  <c r="C59" i="40"/>
  <c r="AG58" i="40"/>
  <c r="AF58" i="40"/>
  <c r="AE58" i="40"/>
  <c r="AD58" i="40"/>
  <c r="AC58" i="40"/>
  <c r="AB58" i="40"/>
  <c r="AA58" i="40"/>
  <c r="Z58" i="40"/>
  <c r="Y58" i="40"/>
  <c r="X58" i="40"/>
  <c r="W58" i="40"/>
  <c r="V58" i="40"/>
  <c r="U58" i="40"/>
  <c r="D58" i="40"/>
  <c r="D57" i="40"/>
  <c r="C57" i="40"/>
  <c r="D56" i="40"/>
  <c r="C56" i="40"/>
  <c r="D55" i="40"/>
  <c r="D54" i="40"/>
  <c r="D53" i="40"/>
  <c r="D52" i="40"/>
  <c r="V51" i="40"/>
  <c r="W51" i="40" s="1"/>
  <c r="X51" i="40" s="1"/>
  <c r="Y51" i="40" s="1"/>
  <c r="Z51" i="40" s="1"/>
  <c r="AA51" i="40" s="1"/>
  <c r="AB51" i="40" s="1"/>
  <c r="AC51" i="40" s="1"/>
  <c r="AD51" i="40" s="1"/>
  <c r="AE51" i="40" s="1"/>
  <c r="AF51" i="40" s="1"/>
  <c r="F51" i="40"/>
  <c r="G51" i="40" s="1"/>
  <c r="H51" i="40" s="1"/>
  <c r="AG49" i="40"/>
  <c r="E48" i="40"/>
  <c r="V80" i="40"/>
  <c r="S48" i="40"/>
  <c r="G14" i="41"/>
  <c r="X48" i="41"/>
  <c r="X14" i="42"/>
  <c r="V14" i="41"/>
  <c r="AE79" i="44"/>
  <c r="AB80" i="43"/>
  <c r="X14" i="41"/>
  <c r="T48" i="40"/>
  <c r="W14" i="41"/>
  <c r="F14" i="41"/>
  <c r="AA79" i="42"/>
  <c r="AD14" i="45"/>
  <c r="Y14" i="41"/>
  <c r="U48" i="40"/>
  <c r="Y80" i="41"/>
  <c r="G48" i="41"/>
  <c r="Z14" i="43"/>
  <c r="AC48" i="43"/>
  <c r="AC48" i="44"/>
  <c r="W80" i="40"/>
  <c r="Y48" i="42"/>
  <c r="AD14" i="44"/>
  <c r="H47" i="44" l="1"/>
  <c r="H49" i="44" s="1"/>
  <c r="T49" i="41"/>
  <c r="U42" i="41"/>
  <c r="U47" i="41" s="1"/>
  <c r="AC44" i="48"/>
  <c r="AC47" i="48"/>
  <c r="AC77" i="47"/>
  <c r="AA49" i="46"/>
  <c r="AB42" i="46"/>
  <c r="AA77" i="45"/>
  <c r="AA79" i="45" s="1"/>
  <c r="AE3" i="45"/>
  <c r="AD40" i="44"/>
  <c r="H8" i="44"/>
  <c r="D8" i="44" s="1"/>
  <c r="AC80" i="44"/>
  <c r="AD75" i="44"/>
  <c r="AD78" i="44" s="1"/>
  <c r="AF74" i="44"/>
  <c r="Y44" i="44"/>
  <c r="Y47" i="44" s="1"/>
  <c r="AE3" i="44"/>
  <c r="Y81" i="43"/>
  <c r="Z75" i="43"/>
  <c r="G15" i="43"/>
  <c r="H5" i="43"/>
  <c r="AD40" i="43"/>
  <c r="AC73" i="43"/>
  <c r="AA3" i="43"/>
  <c r="F49" i="42"/>
  <c r="G42" i="42"/>
  <c r="F15" i="42"/>
  <c r="G5" i="42"/>
  <c r="W49" i="42"/>
  <c r="X42" i="42"/>
  <c r="Y3" i="42"/>
  <c r="X80" i="42"/>
  <c r="Y75" i="42"/>
  <c r="Y78" i="42" s="1"/>
  <c r="AB74" i="42"/>
  <c r="Z40" i="42"/>
  <c r="T15" i="41"/>
  <c r="U5" i="41"/>
  <c r="Z3" i="41"/>
  <c r="Y40" i="41"/>
  <c r="W81" i="41"/>
  <c r="X75" i="41"/>
  <c r="H40" i="41"/>
  <c r="H3" i="41"/>
  <c r="F5" i="41"/>
  <c r="Z73" i="41"/>
  <c r="C58" i="40"/>
  <c r="V81" i="40"/>
  <c r="W75" i="40"/>
  <c r="X73" i="40"/>
  <c r="H77" i="40"/>
  <c r="D77" i="40" s="1"/>
  <c r="AK47" i="40"/>
  <c r="AJ47" i="40"/>
  <c r="AI47" i="40"/>
  <c r="AH47" i="40"/>
  <c r="AK46" i="40"/>
  <c r="AJ46" i="40"/>
  <c r="AI46" i="40"/>
  <c r="AF46" i="40"/>
  <c r="T46" i="40"/>
  <c r="C46" i="40"/>
  <c r="AE45" i="40"/>
  <c r="C45" i="40" s="1"/>
  <c r="S44" i="40"/>
  <c r="S47" i="40" s="1"/>
  <c r="H43" i="40"/>
  <c r="D43" i="40" s="1"/>
  <c r="E43" i="40"/>
  <c r="AH41" i="40"/>
  <c r="W40" i="40"/>
  <c r="X40" i="40" s="1"/>
  <c r="V40" i="40"/>
  <c r="G40" i="40"/>
  <c r="F40" i="40"/>
  <c r="V30" i="40"/>
  <c r="W30" i="40" s="1"/>
  <c r="X30" i="40" s="1"/>
  <c r="Y30" i="40" s="1"/>
  <c r="Z30" i="40" s="1"/>
  <c r="AA30" i="40" s="1"/>
  <c r="AB30" i="40" s="1"/>
  <c r="AC30" i="40" s="1"/>
  <c r="AD30" i="40" s="1"/>
  <c r="AE30" i="40" s="1"/>
  <c r="AF30" i="40" s="1"/>
  <c r="G30" i="40"/>
  <c r="H30" i="40" s="1"/>
  <c r="F30" i="40"/>
  <c r="D28" i="40"/>
  <c r="C28" i="40"/>
  <c r="H27" i="40"/>
  <c r="G27" i="40"/>
  <c r="D27" i="40" s="1"/>
  <c r="E27" i="40"/>
  <c r="D26" i="40"/>
  <c r="C26" i="40"/>
  <c r="D25" i="40"/>
  <c r="C25" i="40"/>
  <c r="AF24" i="40"/>
  <c r="AE24" i="40"/>
  <c r="AD24" i="40"/>
  <c r="AC24" i="40"/>
  <c r="AB24" i="40"/>
  <c r="AA24" i="40"/>
  <c r="Z24" i="40"/>
  <c r="Y24" i="40"/>
  <c r="X24" i="40"/>
  <c r="W24" i="40"/>
  <c r="V24" i="40"/>
  <c r="U24" i="40"/>
  <c r="D24" i="40"/>
  <c r="C24" i="40"/>
  <c r="D23" i="40"/>
  <c r="C23" i="40"/>
  <c r="D22" i="40"/>
  <c r="C22" i="40"/>
  <c r="D21" i="40"/>
  <c r="C21" i="40"/>
  <c r="D20" i="40"/>
  <c r="D19" i="40"/>
  <c r="V18" i="40"/>
  <c r="W18" i="40" s="1"/>
  <c r="X18" i="40" s="1"/>
  <c r="Y18" i="40" s="1"/>
  <c r="Z18" i="40" s="1"/>
  <c r="AA18" i="40" s="1"/>
  <c r="AB18" i="40" s="1"/>
  <c r="AC18" i="40" s="1"/>
  <c r="AD18" i="40" s="1"/>
  <c r="AE18" i="40" s="1"/>
  <c r="AF18" i="40" s="1"/>
  <c r="F18" i="40"/>
  <c r="G18" i="40" s="1"/>
  <c r="H18" i="40" s="1"/>
  <c r="AB79" i="42"/>
  <c r="X48" i="40"/>
  <c r="AA14" i="43"/>
  <c r="Z80" i="41"/>
  <c r="G48" i="40"/>
  <c r="AE14" i="45"/>
  <c r="T14" i="40"/>
  <c r="AF79" i="44"/>
  <c r="Y14" i="42"/>
  <c r="V48" i="40"/>
  <c r="S14" i="40"/>
  <c r="Z48" i="42"/>
  <c r="AE14" i="44"/>
  <c r="H14" i="41"/>
  <c r="Z14" i="41"/>
  <c r="F48" i="40"/>
  <c r="AD48" i="44"/>
  <c r="U14" i="40"/>
  <c r="Y48" i="41"/>
  <c r="AD48" i="43"/>
  <c r="W48" i="40"/>
  <c r="AC80" i="43"/>
  <c r="E14" i="40"/>
  <c r="H48" i="41"/>
  <c r="X80" i="40"/>
  <c r="U49" i="41" l="1"/>
  <c r="V42" i="41"/>
  <c r="H13" i="44"/>
  <c r="H15" i="44" s="1"/>
  <c r="AM39" i="48"/>
  <c r="AL41" i="48"/>
  <c r="AM41" i="48"/>
  <c r="AC49" i="48"/>
  <c r="AD42" i="48"/>
  <c r="AM77" i="47"/>
  <c r="AL77" i="47"/>
  <c r="AM75" i="47"/>
  <c r="AC79" i="47"/>
  <c r="AB44" i="46"/>
  <c r="AB47" i="46" s="1"/>
  <c r="AA81" i="45"/>
  <c r="AB75" i="45"/>
  <c r="AF3" i="45"/>
  <c r="Y49" i="44"/>
  <c r="Z42" i="44"/>
  <c r="AD80" i="44"/>
  <c r="AE75" i="44"/>
  <c r="AE78" i="44" s="1"/>
  <c r="AE40" i="44"/>
  <c r="AF3" i="44"/>
  <c r="AL73" i="44"/>
  <c r="AL72" i="44"/>
  <c r="AM73" i="44"/>
  <c r="AM72" i="44"/>
  <c r="H8" i="43"/>
  <c r="D8" i="43" s="1"/>
  <c r="Z79" i="43"/>
  <c r="Z77" i="43"/>
  <c r="AB3" i="43"/>
  <c r="AE40" i="43"/>
  <c r="AD73" i="43"/>
  <c r="X44" i="42"/>
  <c r="G44" i="42"/>
  <c r="G47" i="42" s="1"/>
  <c r="AA40" i="42"/>
  <c r="Y80" i="42"/>
  <c r="Z75" i="42"/>
  <c r="Z78" i="42" s="1"/>
  <c r="Z3" i="42"/>
  <c r="AC74" i="42"/>
  <c r="G8" i="42"/>
  <c r="G13" i="42" s="1"/>
  <c r="AA73" i="41"/>
  <c r="Z40" i="41"/>
  <c r="AA3" i="41"/>
  <c r="X77" i="41"/>
  <c r="X79" i="41" s="1"/>
  <c r="F13" i="41"/>
  <c r="F8" i="41"/>
  <c r="S49" i="40"/>
  <c r="T42" i="40"/>
  <c r="T47" i="40" s="1"/>
  <c r="W77" i="40"/>
  <c r="W79" i="40" s="1"/>
  <c r="Y73" i="40"/>
  <c r="H40" i="40"/>
  <c r="Y40" i="40"/>
  <c r="S13" i="40"/>
  <c r="S15" i="40" s="1"/>
  <c r="E13" i="40"/>
  <c r="E15" i="40" s="1"/>
  <c r="C12" i="40"/>
  <c r="C11" i="40"/>
  <c r="AM10" i="40"/>
  <c r="AK10" i="40"/>
  <c r="AJ10" i="40"/>
  <c r="AI10" i="40"/>
  <c r="AH10" i="40"/>
  <c r="C10" i="40"/>
  <c r="C9" i="40"/>
  <c r="E8" i="40"/>
  <c r="D7" i="40"/>
  <c r="D6" i="40"/>
  <c r="T5" i="40"/>
  <c r="T13" i="40" s="1"/>
  <c r="V3" i="40"/>
  <c r="W3" i="40" s="1"/>
  <c r="X3" i="40" s="1"/>
  <c r="G3" i="40"/>
  <c r="F3" i="40"/>
  <c r="Y48" i="40"/>
  <c r="W14" i="40"/>
  <c r="Z14" i="42"/>
  <c r="H48" i="40"/>
  <c r="AE48" i="43"/>
  <c r="AF14" i="45"/>
  <c r="AA48" i="42"/>
  <c r="V14" i="40"/>
  <c r="G14" i="40"/>
  <c r="AF14" i="44"/>
  <c r="F14" i="40"/>
  <c r="Y80" i="40"/>
  <c r="X14" i="40"/>
  <c r="AD80" i="43"/>
  <c r="AE48" i="44"/>
  <c r="AA80" i="41"/>
  <c r="E79" i="39"/>
  <c r="AB14" i="43"/>
  <c r="AC79" i="42"/>
  <c r="AA14" i="41"/>
  <c r="Z48" i="41"/>
  <c r="AD44" i="48" l="1"/>
  <c r="AD47" i="48" s="1"/>
  <c r="AC81" i="47"/>
  <c r="AD75" i="47"/>
  <c r="AB49" i="46"/>
  <c r="AC42" i="46"/>
  <c r="AL40" i="46"/>
  <c r="AM39" i="46"/>
  <c r="AM41" i="46"/>
  <c r="AL41" i="46"/>
  <c r="AB77" i="45"/>
  <c r="AB79" i="45" s="1"/>
  <c r="AF40" i="44"/>
  <c r="Z44" i="44"/>
  <c r="Z47" i="44" s="1"/>
  <c r="AE80" i="44"/>
  <c r="AF75" i="44"/>
  <c r="AF78" i="44" s="1"/>
  <c r="AF80" i="44" s="1"/>
  <c r="AM76" i="44"/>
  <c r="AE73" i="43"/>
  <c r="AF40" i="43"/>
  <c r="Z81" i="43"/>
  <c r="AA75" i="43"/>
  <c r="AC3" i="43"/>
  <c r="H13" i="43"/>
  <c r="H15" i="43" s="1"/>
  <c r="AA3" i="42"/>
  <c r="Z80" i="42"/>
  <c r="AA75" i="42"/>
  <c r="AA78" i="42" s="1"/>
  <c r="G15" i="42"/>
  <c r="H5" i="42"/>
  <c r="G49" i="42"/>
  <c r="H42" i="42"/>
  <c r="AD74" i="42"/>
  <c r="AB40" i="42"/>
  <c r="X47" i="42"/>
  <c r="X81" i="41"/>
  <c r="Y75" i="41"/>
  <c r="AB73" i="41"/>
  <c r="F15" i="41"/>
  <c r="G5" i="41"/>
  <c r="AA40" i="41"/>
  <c r="AB3" i="41"/>
  <c r="T15" i="40"/>
  <c r="U5" i="40"/>
  <c r="Z40" i="40"/>
  <c r="W81" i="40"/>
  <c r="X75" i="40"/>
  <c r="Z73" i="40"/>
  <c r="T49" i="40"/>
  <c r="U42" i="40"/>
  <c r="U47" i="40" s="1"/>
  <c r="H3" i="40"/>
  <c r="Y3" i="40"/>
  <c r="F5" i="40"/>
  <c r="C77" i="39"/>
  <c r="F76" i="39"/>
  <c r="E76" i="39"/>
  <c r="E78" i="39" s="1"/>
  <c r="D76" i="39"/>
  <c r="V75" i="39"/>
  <c r="V74" i="39"/>
  <c r="W74" i="39" s="1"/>
  <c r="F74" i="39"/>
  <c r="G74" i="39" s="1"/>
  <c r="H74" i="39" s="1"/>
  <c r="AH71" i="39"/>
  <c r="V64" i="39"/>
  <c r="W64" i="39" s="1"/>
  <c r="X64" i="39" s="1"/>
  <c r="Y64" i="39" s="1"/>
  <c r="Z64" i="39" s="1"/>
  <c r="AA64" i="39" s="1"/>
  <c r="AB64" i="39" s="1"/>
  <c r="AC64" i="39" s="1"/>
  <c r="AD64" i="39" s="1"/>
  <c r="AE64" i="39" s="1"/>
  <c r="AF64" i="39" s="1"/>
  <c r="G64" i="39"/>
  <c r="H64" i="39" s="1"/>
  <c r="F64" i="39"/>
  <c r="W62" i="39"/>
  <c r="D62" i="39"/>
  <c r="C62" i="39"/>
  <c r="H61" i="39"/>
  <c r="G61" i="39"/>
  <c r="F61" i="39"/>
  <c r="E61" i="39"/>
  <c r="D61" i="39"/>
  <c r="AF60" i="39"/>
  <c r="AE60" i="39"/>
  <c r="AD60" i="39"/>
  <c r="AC60" i="39"/>
  <c r="AB60" i="39"/>
  <c r="AA60" i="39"/>
  <c r="Z60" i="39"/>
  <c r="Y60" i="39"/>
  <c r="X60" i="39"/>
  <c r="W60" i="39"/>
  <c r="V60" i="39"/>
  <c r="D60" i="39"/>
  <c r="AF59" i="39"/>
  <c r="AE59" i="39"/>
  <c r="AD59" i="39"/>
  <c r="AC59" i="39"/>
  <c r="AB59" i="39"/>
  <c r="AA59" i="39"/>
  <c r="Z59" i="39"/>
  <c r="Y59" i="39"/>
  <c r="X59" i="39"/>
  <c r="W59" i="39"/>
  <c r="V59" i="39"/>
  <c r="D59" i="39"/>
  <c r="AF58" i="39"/>
  <c r="AE58" i="39"/>
  <c r="AD58" i="39"/>
  <c r="AC58" i="39"/>
  <c r="AB58" i="39"/>
  <c r="AA58" i="39"/>
  <c r="Z58" i="39"/>
  <c r="Y58" i="39"/>
  <c r="X58" i="39"/>
  <c r="W58" i="39"/>
  <c r="V58" i="39"/>
  <c r="D58" i="39"/>
  <c r="AF57" i="39"/>
  <c r="AE57" i="39"/>
  <c r="AD57" i="39"/>
  <c r="AC57" i="39"/>
  <c r="AB57" i="39"/>
  <c r="AA57" i="39"/>
  <c r="Z57" i="39"/>
  <c r="Y57" i="39"/>
  <c r="X57" i="39"/>
  <c r="W57" i="39"/>
  <c r="V57" i="39"/>
  <c r="D57" i="39"/>
  <c r="AF56" i="39"/>
  <c r="AE56" i="39"/>
  <c r="AD56" i="39"/>
  <c r="AC56" i="39"/>
  <c r="AB56" i="39"/>
  <c r="AA56" i="39"/>
  <c r="Z56" i="39"/>
  <c r="Y56" i="39"/>
  <c r="X56" i="39"/>
  <c r="W56" i="39"/>
  <c r="V56" i="39"/>
  <c r="D56" i="39"/>
  <c r="AF55" i="39"/>
  <c r="AE55" i="39"/>
  <c r="AD55" i="39"/>
  <c r="AC55" i="39"/>
  <c r="AB55" i="39"/>
  <c r="AA55" i="39"/>
  <c r="Z55" i="39"/>
  <c r="Y55" i="39"/>
  <c r="X55" i="39"/>
  <c r="W55" i="39"/>
  <c r="V55" i="39"/>
  <c r="D55" i="39"/>
  <c r="AF54" i="39"/>
  <c r="AE54" i="39"/>
  <c r="AD54" i="39"/>
  <c r="AC54" i="39"/>
  <c r="AB54" i="39"/>
  <c r="AA54" i="39"/>
  <c r="Z54" i="39"/>
  <c r="Y54" i="39"/>
  <c r="X54" i="39"/>
  <c r="W54" i="39"/>
  <c r="V54" i="39"/>
  <c r="D54" i="39"/>
  <c r="AF53" i="39"/>
  <c r="AF61" i="39" s="1"/>
  <c r="AE53" i="39"/>
  <c r="AE61" i="39" s="1"/>
  <c r="AD53" i="39"/>
  <c r="AD61" i="39" s="1"/>
  <c r="AC53" i="39"/>
  <c r="AC76" i="39" s="1"/>
  <c r="AB53" i="39"/>
  <c r="AB61" i="39" s="1"/>
  <c r="AA53" i="39"/>
  <c r="AA61" i="39" s="1"/>
  <c r="Z53" i="39"/>
  <c r="Y53" i="39"/>
  <c r="Y76" i="39" s="1"/>
  <c r="X53" i="39"/>
  <c r="X61" i="39" s="1"/>
  <c r="W53" i="39"/>
  <c r="W61" i="39" s="1"/>
  <c r="V53" i="39"/>
  <c r="V61" i="39" s="1"/>
  <c r="D53" i="39"/>
  <c r="V52" i="39"/>
  <c r="W52" i="39" s="1"/>
  <c r="X52" i="39" s="1"/>
  <c r="Y52" i="39" s="1"/>
  <c r="Z52" i="39" s="1"/>
  <c r="AA52" i="39" s="1"/>
  <c r="AB52" i="39" s="1"/>
  <c r="AC52" i="39" s="1"/>
  <c r="AD52" i="39" s="1"/>
  <c r="AE52" i="39" s="1"/>
  <c r="AF52" i="39" s="1"/>
  <c r="F52" i="39"/>
  <c r="G52" i="39" s="1"/>
  <c r="H52" i="39" s="1"/>
  <c r="E48" i="39"/>
  <c r="AF48" i="44"/>
  <c r="AA48" i="41"/>
  <c r="AC14" i="43"/>
  <c r="H79" i="39"/>
  <c r="G79" i="39"/>
  <c r="AB14" i="41"/>
  <c r="V79" i="39"/>
  <c r="AB80" i="41"/>
  <c r="F79" i="39"/>
  <c r="AF48" i="43"/>
  <c r="H14" i="40"/>
  <c r="W79" i="39"/>
  <c r="AE80" i="43"/>
  <c r="Z48" i="40"/>
  <c r="Y14" i="40"/>
  <c r="Z80" i="40"/>
  <c r="AA14" i="42"/>
  <c r="AD79" i="42"/>
  <c r="AB48" i="42"/>
  <c r="X76" i="39" l="1"/>
  <c r="AB76" i="39"/>
  <c r="W76" i="39"/>
  <c r="AD49" i="48"/>
  <c r="AE42" i="48"/>
  <c r="AD77" i="47"/>
  <c r="AD79" i="47" s="1"/>
  <c r="AM45" i="46"/>
  <c r="AC44" i="46"/>
  <c r="AC47" i="46" s="1"/>
  <c r="AB81" i="45"/>
  <c r="AC75" i="45"/>
  <c r="AM75" i="45"/>
  <c r="AL76" i="45"/>
  <c r="AM77" i="45"/>
  <c r="AL77" i="45"/>
  <c r="Z49" i="44"/>
  <c r="AA42" i="44"/>
  <c r="AM42" i="44"/>
  <c r="AL42" i="44"/>
  <c r="AA77" i="43"/>
  <c r="AM75" i="43" s="1"/>
  <c r="AF73" i="43"/>
  <c r="AD3" i="43"/>
  <c r="C60" i="39"/>
  <c r="C59" i="39"/>
  <c r="C58" i="39"/>
  <c r="C57" i="39"/>
  <c r="C56" i="39"/>
  <c r="C55" i="39"/>
  <c r="C54" i="39"/>
  <c r="AA76" i="39"/>
  <c r="AE74" i="42"/>
  <c r="AB3" i="42"/>
  <c r="H8" i="42"/>
  <c r="D8" i="42" s="1"/>
  <c r="AA80" i="42"/>
  <c r="AB75" i="42"/>
  <c r="AB78" i="42" s="1"/>
  <c r="H44" i="42"/>
  <c r="D44" i="42" s="1"/>
  <c r="H47" i="42"/>
  <c r="H49" i="42" s="1"/>
  <c r="X49" i="42"/>
  <c r="Y42" i="42"/>
  <c r="AC40" i="42"/>
  <c r="AC3" i="41"/>
  <c r="AB40" i="41"/>
  <c r="G8" i="41"/>
  <c r="Y77" i="41"/>
  <c r="Y79" i="41" s="1"/>
  <c r="AC73" i="41"/>
  <c r="Z61" i="39"/>
  <c r="U49" i="40"/>
  <c r="V42" i="40"/>
  <c r="AA73" i="40"/>
  <c r="X77" i="40"/>
  <c r="X79" i="40" s="1"/>
  <c r="Z3" i="40"/>
  <c r="AA40" i="40"/>
  <c r="F13" i="40"/>
  <c r="F8" i="40"/>
  <c r="X74" i="39"/>
  <c r="E80" i="39"/>
  <c r="F75" i="39"/>
  <c r="F78" i="39" s="1"/>
  <c r="AC61" i="39"/>
  <c r="C53" i="39"/>
  <c r="V76" i="39"/>
  <c r="V78" i="39" s="1"/>
  <c r="Z76" i="39"/>
  <c r="AD76" i="39"/>
  <c r="Y61" i="39"/>
  <c r="AF46" i="39"/>
  <c r="C46" i="39" s="1"/>
  <c r="AE45" i="39"/>
  <c r="C45" i="39"/>
  <c r="AM44" i="39"/>
  <c r="AL44" i="39"/>
  <c r="AK44" i="39"/>
  <c r="AJ44" i="39"/>
  <c r="AI44" i="39"/>
  <c r="AH44" i="39"/>
  <c r="AK43" i="39"/>
  <c r="AJ43" i="39"/>
  <c r="AI43" i="39"/>
  <c r="F43" i="39"/>
  <c r="E43" i="39"/>
  <c r="D43" i="39"/>
  <c r="V42" i="39"/>
  <c r="V40" i="39"/>
  <c r="F40" i="39"/>
  <c r="G40" i="39" s="1"/>
  <c r="AH38" i="39"/>
  <c r="V30" i="39"/>
  <c r="W30" i="39" s="1"/>
  <c r="X30" i="39" s="1"/>
  <c r="Y30" i="39" s="1"/>
  <c r="Z30" i="39" s="1"/>
  <c r="AA30" i="39" s="1"/>
  <c r="AB30" i="39" s="1"/>
  <c r="AC30" i="39" s="1"/>
  <c r="AD30" i="39" s="1"/>
  <c r="AE30" i="39" s="1"/>
  <c r="AF30" i="39" s="1"/>
  <c r="F30" i="39"/>
  <c r="G30" i="39" s="1"/>
  <c r="H30" i="39" s="1"/>
  <c r="D28" i="39"/>
  <c r="C28" i="39"/>
  <c r="H27" i="39"/>
  <c r="G27" i="39"/>
  <c r="F27" i="39"/>
  <c r="E27" i="39"/>
  <c r="D27" i="39"/>
  <c r="AF26" i="39"/>
  <c r="AE26" i="39"/>
  <c r="AD26" i="39"/>
  <c r="AC26" i="39"/>
  <c r="AB26" i="39"/>
  <c r="AA26" i="39"/>
  <c r="Z26" i="39"/>
  <c r="Y26" i="39"/>
  <c r="X26" i="39"/>
  <c r="W26" i="39"/>
  <c r="V26" i="39"/>
  <c r="D26" i="39"/>
  <c r="D25" i="39"/>
  <c r="C25" i="39"/>
  <c r="AF24" i="39"/>
  <c r="AE24" i="39"/>
  <c r="AD24" i="39"/>
  <c r="AC24" i="39"/>
  <c r="AB24" i="39"/>
  <c r="AA24" i="39"/>
  <c r="Z24" i="39"/>
  <c r="Y24" i="39"/>
  <c r="X24" i="39"/>
  <c r="W24" i="39"/>
  <c r="V24" i="39"/>
  <c r="D24" i="39"/>
  <c r="D23" i="39"/>
  <c r="C23" i="39"/>
  <c r="AF22" i="39"/>
  <c r="AE22" i="39"/>
  <c r="AD22" i="39"/>
  <c r="AC22" i="39"/>
  <c r="AB22" i="39"/>
  <c r="AA22" i="39"/>
  <c r="Z22" i="39"/>
  <c r="Y22" i="39"/>
  <c r="X22" i="39"/>
  <c r="W22" i="39"/>
  <c r="V22" i="39"/>
  <c r="D22" i="39"/>
  <c r="D21" i="39"/>
  <c r="C21" i="39"/>
  <c r="AF20" i="39"/>
  <c r="AE20" i="39"/>
  <c r="AD20" i="39"/>
  <c r="AC20" i="39"/>
  <c r="AB20" i="39"/>
  <c r="AA20" i="39"/>
  <c r="Z20" i="39"/>
  <c r="Y20" i="39"/>
  <c r="X20" i="39"/>
  <c r="W20" i="39"/>
  <c r="W43" i="39" s="1"/>
  <c r="V20" i="39"/>
  <c r="D20" i="39"/>
  <c r="AF19" i="39"/>
  <c r="AF27" i="39" s="1"/>
  <c r="AE19" i="39"/>
  <c r="AD19" i="39"/>
  <c r="AC19" i="39"/>
  <c r="AB19" i="39"/>
  <c r="AA19" i="39"/>
  <c r="Z19" i="39"/>
  <c r="Y19" i="39"/>
  <c r="X19" i="39"/>
  <c r="X27" i="39" s="1"/>
  <c r="W19" i="39"/>
  <c r="W27" i="39" s="1"/>
  <c r="V19" i="39"/>
  <c r="V43" i="39" s="1"/>
  <c r="D19" i="39"/>
  <c r="V18" i="39"/>
  <c r="W18" i="39" s="1"/>
  <c r="X18" i="39" s="1"/>
  <c r="Y18" i="39" s="1"/>
  <c r="Z18" i="39" s="1"/>
  <c r="AA18" i="39" s="1"/>
  <c r="AB18" i="39" s="1"/>
  <c r="AC18" i="39" s="1"/>
  <c r="AD18" i="39" s="1"/>
  <c r="AE18" i="39" s="1"/>
  <c r="AF18" i="39" s="1"/>
  <c r="F18" i="39"/>
  <c r="G18" i="39" s="1"/>
  <c r="H18" i="39" s="1"/>
  <c r="X79" i="39"/>
  <c r="V48" i="39"/>
  <c r="AA80" i="40"/>
  <c r="AB14" i="42"/>
  <c r="AD14" i="43"/>
  <c r="AC14" i="41"/>
  <c r="Z14" i="40"/>
  <c r="E14" i="39"/>
  <c r="AA48" i="40"/>
  <c r="AC48" i="42"/>
  <c r="AB48" i="41"/>
  <c r="AE79" i="42"/>
  <c r="AC80" i="41"/>
  <c r="F48" i="39"/>
  <c r="G48" i="39"/>
  <c r="AF80" i="43"/>
  <c r="AA43" i="39" l="1"/>
  <c r="X43" i="39"/>
  <c r="AB43" i="39"/>
  <c r="AA79" i="43"/>
  <c r="Y43" i="39"/>
  <c r="AE27" i="39"/>
  <c r="C20" i="39"/>
  <c r="C22" i="39"/>
  <c r="AD27" i="39"/>
  <c r="AD43" i="39"/>
  <c r="AE44" i="48"/>
  <c r="AE47" i="48" s="1"/>
  <c r="AD81" i="47"/>
  <c r="AE75" i="47"/>
  <c r="C26" i="39"/>
  <c r="AC43" i="39"/>
  <c r="AC49" i="46"/>
  <c r="AD42" i="46"/>
  <c r="AC77" i="45"/>
  <c r="AC79" i="45" s="1"/>
  <c r="AM81" i="45"/>
  <c r="AB27" i="39"/>
  <c r="AA47" i="44"/>
  <c r="AA44" i="44"/>
  <c r="AL77" i="43"/>
  <c r="AM78" i="43"/>
  <c r="AL78" i="43"/>
  <c r="AM77" i="43"/>
  <c r="AA81" i="43"/>
  <c r="AB75" i="43"/>
  <c r="AE3" i="43"/>
  <c r="C24" i="39"/>
  <c r="AA27" i="39"/>
  <c r="AC3" i="42"/>
  <c r="AD40" i="42"/>
  <c r="AF74" i="42"/>
  <c r="H13" i="42"/>
  <c r="H15" i="42" s="1"/>
  <c r="Y44" i="42"/>
  <c r="Y47" i="42" s="1"/>
  <c r="AB80" i="42"/>
  <c r="AC75" i="42"/>
  <c r="AC78" i="42" s="1"/>
  <c r="AD73" i="41"/>
  <c r="AD3" i="41"/>
  <c r="G13" i="41"/>
  <c r="Y81" i="41"/>
  <c r="Z75" i="41"/>
  <c r="AC40" i="41"/>
  <c r="Z27" i="39"/>
  <c r="Z43" i="39"/>
  <c r="C61" i="39"/>
  <c r="AB40" i="40"/>
  <c r="X81" i="40"/>
  <c r="Y75" i="40"/>
  <c r="F15" i="40"/>
  <c r="G5" i="40"/>
  <c r="AA3" i="40"/>
  <c r="AB73" i="40"/>
  <c r="H40" i="39"/>
  <c r="V44" i="39"/>
  <c r="Y74" i="39"/>
  <c r="V27" i="39"/>
  <c r="AC27" i="39"/>
  <c r="F80" i="39"/>
  <c r="G75" i="39"/>
  <c r="G78" i="39" s="1"/>
  <c r="V80" i="39"/>
  <c r="W75" i="39"/>
  <c r="W78" i="39" s="1"/>
  <c r="E44" i="39"/>
  <c r="E47" i="39" s="1"/>
  <c r="C19" i="39"/>
  <c r="Y27" i="39"/>
  <c r="W40" i="39"/>
  <c r="C76" i="39"/>
  <c r="C78" i="39" s="1"/>
  <c r="C12" i="39"/>
  <c r="C11" i="39"/>
  <c r="AM10" i="39"/>
  <c r="AK10" i="39"/>
  <c r="AJ10" i="39"/>
  <c r="AI10" i="39"/>
  <c r="AH10" i="39"/>
  <c r="C10" i="39"/>
  <c r="C9" i="39"/>
  <c r="E8" i="39"/>
  <c r="D7" i="39"/>
  <c r="D6" i="39"/>
  <c r="W3" i="39"/>
  <c r="V3" i="39"/>
  <c r="F3" i="39"/>
  <c r="AD14" i="41"/>
  <c r="AB48" i="40"/>
  <c r="W14" i="39"/>
  <c r="V14" i="39"/>
  <c r="AC14" i="42"/>
  <c r="W48" i="39"/>
  <c r="AF79" i="42"/>
  <c r="H48" i="39"/>
  <c r="AC48" i="41"/>
  <c r="AE14" i="43"/>
  <c r="AD48" i="42"/>
  <c r="AB80" i="40"/>
  <c r="F14" i="39"/>
  <c r="Y79" i="39"/>
  <c r="AD80" i="41"/>
  <c r="AA14" i="40"/>
  <c r="AE49" i="48" l="1"/>
  <c r="AF42" i="48"/>
  <c r="AE77" i="47"/>
  <c r="AE79" i="47" s="1"/>
  <c r="C43" i="39"/>
  <c r="AD44" i="46"/>
  <c r="AD47" i="46" s="1"/>
  <c r="AC81" i="45"/>
  <c r="AD75" i="45"/>
  <c r="AA49" i="44"/>
  <c r="AB42" i="44"/>
  <c r="AM39" i="44"/>
  <c r="AL41" i="44"/>
  <c r="AM41" i="44"/>
  <c r="AF3" i="43"/>
  <c r="AB77" i="43"/>
  <c r="AB79" i="43" s="1"/>
  <c r="Y49" i="42"/>
  <c r="Z42" i="42"/>
  <c r="AL72" i="42"/>
  <c r="AM73" i="42"/>
  <c r="AM72" i="42"/>
  <c r="AL73" i="42"/>
  <c r="AD3" i="42"/>
  <c r="AC80" i="42"/>
  <c r="AD75" i="42"/>
  <c r="AD78" i="42" s="1"/>
  <c r="AE40" i="42"/>
  <c r="Z77" i="41"/>
  <c r="AE73" i="41"/>
  <c r="G15" i="41"/>
  <c r="H5" i="41"/>
  <c r="AE3" i="41"/>
  <c r="AD40" i="41"/>
  <c r="C27" i="39"/>
  <c r="G8" i="40"/>
  <c r="G13" i="40" s="1"/>
  <c r="AC73" i="40"/>
  <c r="AC40" i="40"/>
  <c r="AB3" i="40"/>
  <c r="Y77" i="40"/>
  <c r="X40" i="39"/>
  <c r="W80" i="39"/>
  <c r="X75" i="39"/>
  <c r="X78" i="39" s="1"/>
  <c r="E49" i="39"/>
  <c r="F42" i="39"/>
  <c r="Z74" i="39"/>
  <c r="G80" i="39"/>
  <c r="H75" i="39"/>
  <c r="H78" i="39" s="1"/>
  <c r="H80" i="39" s="1"/>
  <c r="E13" i="39"/>
  <c r="V47" i="39"/>
  <c r="G3" i="39"/>
  <c r="X3" i="39"/>
  <c r="C53" i="23"/>
  <c r="C44" i="23"/>
  <c r="C5" i="23"/>
  <c r="C18" i="23"/>
  <c r="C15" i="23"/>
  <c r="C12" i="23"/>
  <c r="C8" i="23"/>
  <c r="C6" i="23"/>
  <c r="C4" i="23"/>
  <c r="C77" i="38"/>
  <c r="F76" i="38"/>
  <c r="E76" i="38"/>
  <c r="E78" i="38" s="1"/>
  <c r="D76" i="38"/>
  <c r="V75" i="38"/>
  <c r="V74" i="38"/>
  <c r="F74" i="38"/>
  <c r="G74" i="38" s="1"/>
  <c r="AH71" i="38"/>
  <c r="V64" i="38"/>
  <c r="W64" i="38" s="1"/>
  <c r="X64" i="38" s="1"/>
  <c r="Y64" i="38" s="1"/>
  <c r="Z64" i="38" s="1"/>
  <c r="AA64" i="38" s="1"/>
  <c r="AB64" i="38" s="1"/>
  <c r="AC64" i="38" s="1"/>
  <c r="AD64" i="38" s="1"/>
  <c r="AE64" i="38" s="1"/>
  <c r="AF64" i="38" s="1"/>
  <c r="G64" i="38"/>
  <c r="H64" i="38" s="1"/>
  <c r="F64" i="38"/>
  <c r="W62" i="38"/>
  <c r="D62" i="38"/>
  <c r="C62" i="38"/>
  <c r="H61" i="38"/>
  <c r="D61" i="38" s="1"/>
  <c r="G61" i="38"/>
  <c r="F61" i="38"/>
  <c r="E61" i="38"/>
  <c r="AF60" i="38"/>
  <c r="AE60" i="38"/>
  <c r="AD60" i="38"/>
  <c r="AC60" i="38"/>
  <c r="AB60" i="38"/>
  <c r="AA60" i="38"/>
  <c r="Z60" i="38"/>
  <c r="Y60" i="38"/>
  <c r="X60" i="38"/>
  <c r="W60" i="38"/>
  <c r="V60" i="38"/>
  <c r="D60" i="38"/>
  <c r="AF59" i="38"/>
  <c r="AE59" i="38"/>
  <c r="AD59" i="38"/>
  <c r="AC59" i="38"/>
  <c r="AB59" i="38"/>
  <c r="AA59" i="38"/>
  <c r="Z59" i="38"/>
  <c r="Y59" i="38"/>
  <c r="X59" i="38"/>
  <c r="W59" i="38"/>
  <c r="V59" i="38"/>
  <c r="D59" i="38"/>
  <c r="AF58" i="38"/>
  <c r="AE58" i="38"/>
  <c r="AD58" i="38"/>
  <c r="AC58" i="38"/>
  <c r="AB58" i="38"/>
  <c r="AA58" i="38"/>
  <c r="Z58" i="38"/>
  <c r="Y58" i="38"/>
  <c r="X58" i="38"/>
  <c r="W58" i="38"/>
  <c r="V58" i="38"/>
  <c r="D58" i="38"/>
  <c r="AF57" i="38"/>
  <c r="AE57" i="38"/>
  <c r="AD57" i="38"/>
  <c r="AC57" i="38"/>
  <c r="AB57" i="38"/>
  <c r="AA57" i="38"/>
  <c r="Z57" i="38"/>
  <c r="Y57" i="38"/>
  <c r="X57" i="38"/>
  <c r="W57" i="38"/>
  <c r="V57" i="38"/>
  <c r="D57" i="38"/>
  <c r="AF56" i="38"/>
  <c r="AE56" i="38"/>
  <c r="AD56" i="38"/>
  <c r="AC56" i="38"/>
  <c r="AB56" i="38"/>
  <c r="AA56" i="38"/>
  <c r="Z56" i="38"/>
  <c r="Y56" i="38"/>
  <c r="X56" i="38"/>
  <c r="W56" i="38"/>
  <c r="V56" i="38"/>
  <c r="D56" i="38"/>
  <c r="AF55" i="38"/>
  <c r="AE55" i="38"/>
  <c r="AD55" i="38"/>
  <c r="AC55" i="38"/>
  <c r="AB55" i="38"/>
  <c r="AA55" i="38"/>
  <c r="Z55" i="38"/>
  <c r="Y55" i="38"/>
  <c r="X55" i="38"/>
  <c r="W55" i="38"/>
  <c r="V55" i="38"/>
  <c r="D55" i="38"/>
  <c r="AF54" i="38"/>
  <c r="AE54" i="38"/>
  <c r="AD54" i="38"/>
  <c r="AC54" i="38"/>
  <c r="AB54" i="38"/>
  <c r="AA54" i="38"/>
  <c r="Z54" i="38"/>
  <c r="Y54" i="38"/>
  <c r="X54" i="38"/>
  <c r="W54" i="38"/>
  <c r="V54" i="38"/>
  <c r="D54" i="38"/>
  <c r="AF53" i="38"/>
  <c r="AF61" i="38" s="1"/>
  <c r="AE53" i="38"/>
  <c r="AE61" i="38" s="1"/>
  <c r="AD53" i="38"/>
  <c r="AD76" i="38" s="1"/>
  <c r="AC53" i="38"/>
  <c r="AC61" i="38" s="1"/>
  <c r="AB53" i="38"/>
  <c r="AB61" i="38" s="1"/>
  <c r="AA53" i="38"/>
  <c r="AA61" i="38" s="1"/>
  <c r="Z53" i="38"/>
  <c r="Z76" i="38" s="1"/>
  <c r="Y53" i="38"/>
  <c r="X53" i="38"/>
  <c r="X61" i="38" s="1"/>
  <c r="W53" i="38"/>
  <c r="W61" i="38" s="1"/>
  <c r="V53" i="38"/>
  <c r="V76" i="38" s="1"/>
  <c r="D53" i="38"/>
  <c r="W52" i="38"/>
  <c r="X52" i="38" s="1"/>
  <c r="Y52" i="38" s="1"/>
  <c r="Z52" i="38" s="1"/>
  <c r="AA52" i="38" s="1"/>
  <c r="AB52" i="38" s="1"/>
  <c r="AC52" i="38" s="1"/>
  <c r="AD52" i="38" s="1"/>
  <c r="AE52" i="38" s="1"/>
  <c r="AF52" i="38" s="1"/>
  <c r="V52" i="38"/>
  <c r="F52" i="38"/>
  <c r="G52" i="38" s="1"/>
  <c r="H52" i="38" s="1"/>
  <c r="V79" i="38"/>
  <c r="G14" i="39"/>
  <c r="E79" i="38"/>
  <c r="AE80" i="41"/>
  <c r="AC80" i="40"/>
  <c r="AE48" i="42"/>
  <c r="AB14" i="40"/>
  <c r="X14" i="39"/>
  <c r="AD48" i="41"/>
  <c r="F79" i="38"/>
  <c r="AF14" i="43"/>
  <c r="G79" i="38"/>
  <c r="AD14" i="42"/>
  <c r="AE14" i="41"/>
  <c r="X48" i="39"/>
  <c r="AC48" i="40"/>
  <c r="E48" i="38"/>
  <c r="Z79" i="39"/>
  <c r="X76" i="38" l="1"/>
  <c r="AB76" i="38"/>
  <c r="AF44" i="48"/>
  <c r="AF47" i="48" s="1"/>
  <c r="AF49" i="48" s="1"/>
  <c r="AE81" i="47"/>
  <c r="AF75" i="47"/>
  <c r="C57" i="38"/>
  <c r="C56" i="38"/>
  <c r="AC76" i="38"/>
  <c r="AD49" i="46"/>
  <c r="AE42" i="46"/>
  <c r="AD77" i="45"/>
  <c r="AD79" i="45" s="1"/>
  <c r="AB44" i="44"/>
  <c r="AB47" i="44" s="1"/>
  <c r="AB81" i="43"/>
  <c r="AC75" i="43"/>
  <c r="C60" i="38"/>
  <c r="C59" i="38"/>
  <c r="C54" i="38"/>
  <c r="AM76" i="42"/>
  <c r="Z44" i="42"/>
  <c r="Z47" i="42" s="1"/>
  <c r="AD80" i="42"/>
  <c r="AE75" i="42"/>
  <c r="AE78" i="42" s="1"/>
  <c r="AE3" i="42"/>
  <c r="AF40" i="42"/>
  <c r="AF3" i="41"/>
  <c r="AF73" i="41"/>
  <c r="Z79" i="41"/>
  <c r="AE40" i="41"/>
  <c r="H8" i="41"/>
  <c r="D8" i="41" s="1"/>
  <c r="G15" i="40"/>
  <c r="H5" i="40"/>
  <c r="AC3" i="40"/>
  <c r="AD73" i="40"/>
  <c r="AD40" i="40"/>
  <c r="Y79" i="40"/>
  <c r="E15" i="39"/>
  <c r="F5" i="39"/>
  <c r="H3" i="39"/>
  <c r="Y40" i="39"/>
  <c r="V49" i="39"/>
  <c r="W42" i="39"/>
  <c r="X80" i="39"/>
  <c r="Y75" i="39"/>
  <c r="Y78" i="39" s="1"/>
  <c r="F44" i="39"/>
  <c r="F47" i="39"/>
  <c r="Y3" i="39"/>
  <c r="AA74" i="39"/>
  <c r="Y61" i="38"/>
  <c r="C58" i="38"/>
  <c r="C55" i="38"/>
  <c r="V78" i="38"/>
  <c r="H74" i="38"/>
  <c r="E80" i="38"/>
  <c r="F75" i="38"/>
  <c r="F78" i="38" s="1"/>
  <c r="V61" i="38"/>
  <c r="Z61" i="38"/>
  <c r="AD61" i="38"/>
  <c r="C53" i="38"/>
  <c r="W76" i="38"/>
  <c r="AA76" i="38"/>
  <c r="Y76" i="38"/>
  <c r="W74" i="38"/>
  <c r="AF46" i="38"/>
  <c r="C46" i="38"/>
  <c r="AE45" i="38"/>
  <c r="C45" i="38" s="1"/>
  <c r="AM44" i="38"/>
  <c r="AL44" i="38"/>
  <c r="AK44" i="38"/>
  <c r="AJ44" i="38"/>
  <c r="AI44" i="38"/>
  <c r="AH44" i="38"/>
  <c r="AK43" i="38"/>
  <c r="AJ43" i="38"/>
  <c r="AI43" i="38"/>
  <c r="F43" i="38"/>
  <c r="E43" i="38"/>
  <c r="D43" i="38"/>
  <c r="V42" i="38"/>
  <c r="V40" i="38"/>
  <c r="W40" i="38" s="1"/>
  <c r="F40" i="38"/>
  <c r="G40" i="38" s="1"/>
  <c r="AH38" i="38"/>
  <c r="V30" i="38"/>
  <c r="W30" i="38" s="1"/>
  <c r="X30" i="38" s="1"/>
  <c r="Y30" i="38" s="1"/>
  <c r="Z30" i="38" s="1"/>
  <c r="AA30" i="38" s="1"/>
  <c r="AB30" i="38" s="1"/>
  <c r="AC30" i="38" s="1"/>
  <c r="AD30" i="38" s="1"/>
  <c r="AE30" i="38" s="1"/>
  <c r="AF30" i="38" s="1"/>
  <c r="F30" i="38"/>
  <c r="G30" i="38" s="1"/>
  <c r="H30" i="38" s="1"/>
  <c r="D28" i="38"/>
  <c r="C28" i="38"/>
  <c r="H27" i="38"/>
  <c r="G27" i="38"/>
  <c r="D27" i="38" s="1"/>
  <c r="F27" i="38"/>
  <c r="E27" i="38"/>
  <c r="AF26" i="38"/>
  <c r="AE26" i="38"/>
  <c r="AD26" i="38"/>
  <c r="AC26" i="38"/>
  <c r="AB26" i="38"/>
  <c r="AA26" i="38"/>
  <c r="Z26" i="38"/>
  <c r="Y26" i="38"/>
  <c r="X26" i="38"/>
  <c r="W26" i="38"/>
  <c r="V26" i="38"/>
  <c r="D26" i="38"/>
  <c r="D25" i="38"/>
  <c r="C25" i="38"/>
  <c r="AF24" i="38"/>
  <c r="AE24" i="38"/>
  <c r="AD24" i="38"/>
  <c r="AC24" i="38"/>
  <c r="AB24" i="38"/>
  <c r="AA24" i="38"/>
  <c r="Z24" i="38"/>
  <c r="Y24" i="38"/>
  <c r="X24" i="38"/>
  <c r="W24" i="38"/>
  <c r="V24" i="38"/>
  <c r="D24" i="38"/>
  <c r="D23" i="38"/>
  <c r="C23" i="38"/>
  <c r="AF22" i="38"/>
  <c r="AE22" i="38"/>
  <c r="AD22" i="38"/>
  <c r="AC22" i="38"/>
  <c r="AB22" i="38"/>
  <c r="AA22" i="38"/>
  <c r="Z22" i="38"/>
  <c r="Y22" i="38"/>
  <c r="X22" i="38"/>
  <c r="W22" i="38"/>
  <c r="V22" i="38"/>
  <c r="D22" i="38"/>
  <c r="D21" i="38"/>
  <c r="C21" i="38"/>
  <c r="AF20" i="38"/>
  <c r="AE20" i="38"/>
  <c r="AD20" i="38"/>
  <c r="AC20" i="38"/>
  <c r="AB20" i="38"/>
  <c r="AA20" i="38"/>
  <c r="Z20" i="38"/>
  <c r="Y20" i="38"/>
  <c r="X20" i="38"/>
  <c r="W20" i="38"/>
  <c r="V20" i="38"/>
  <c r="D20" i="38"/>
  <c r="AF19" i="38"/>
  <c r="AE19" i="38"/>
  <c r="AD19" i="38"/>
  <c r="AC19" i="38"/>
  <c r="AB19" i="38"/>
  <c r="AA19" i="38"/>
  <c r="Z19" i="38"/>
  <c r="Y19" i="38"/>
  <c r="X19" i="38"/>
  <c r="W19" i="38"/>
  <c r="W43" i="38" s="1"/>
  <c r="V19" i="38"/>
  <c r="D19" i="38"/>
  <c r="V18" i="38"/>
  <c r="W18" i="38" s="1"/>
  <c r="X18" i="38" s="1"/>
  <c r="Y18" i="38" s="1"/>
  <c r="Z18" i="38" s="1"/>
  <c r="AA18" i="38" s="1"/>
  <c r="AB18" i="38" s="1"/>
  <c r="AC18" i="38" s="1"/>
  <c r="AD18" i="38" s="1"/>
  <c r="AE18" i="38" s="1"/>
  <c r="AF18" i="38" s="1"/>
  <c r="G18" i="38"/>
  <c r="H18" i="38" s="1"/>
  <c r="F18" i="38"/>
  <c r="AF48" i="42"/>
  <c r="V48" i="38"/>
  <c r="G48" i="38"/>
  <c r="AF80" i="41"/>
  <c r="W48" i="38"/>
  <c r="F48" i="38"/>
  <c r="AA79" i="39"/>
  <c r="W79" i="38"/>
  <c r="AC14" i="40"/>
  <c r="AF14" i="41"/>
  <c r="E14" i="38"/>
  <c r="AD48" i="40"/>
  <c r="Y14" i="39"/>
  <c r="Y48" i="39"/>
  <c r="H79" i="38"/>
  <c r="H14" i="39"/>
  <c r="AD80" i="40"/>
  <c r="AE48" i="41"/>
  <c r="AE14" i="42"/>
  <c r="X43" i="38" l="1"/>
  <c r="X27" i="38"/>
  <c r="AF27" i="38"/>
  <c r="AE27" i="38"/>
  <c r="AD27" i="38"/>
  <c r="AL40" i="48"/>
  <c r="AM45" i="48" s="1"/>
  <c r="C44" i="48"/>
  <c r="C47" i="48" s="1"/>
  <c r="AF77" i="47"/>
  <c r="AC27" i="38"/>
  <c r="AE44" i="46"/>
  <c r="AE47" i="46" s="1"/>
  <c r="AD81" i="45"/>
  <c r="AE75" i="45"/>
  <c r="C22" i="38"/>
  <c r="AB43" i="38"/>
  <c r="AB27" i="38"/>
  <c r="AB49" i="44"/>
  <c r="AC42" i="44"/>
  <c r="AC77" i="43"/>
  <c r="AC79" i="43" s="1"/>
  <c r="AA43" i="38"/>
  <c r="C26" i="38"/>
  <c r="C20" i="38"/>
  <c r="Z49" i="42"/>
  <c r="AA42" i="42"/>
  <c r="AF3" i="42"/>
  <c r="AM42" i="42"/>
  <c r="AM41" i="42"/>
  <c r="AL42" i="42"/>
  <c r="AL41" i="42"/>
  <c r="AE80" i="42"/>
  <c r="AF75" i="42"/>
  <c r="AF78" i="42" s="1"/>
  <c r="AF80" i="42" s="1"/>
  <c r="AM78" i="41"/>
  <c r="AL77" i="41"/>
  <c r="AM77" i="41"/>
  <c r="AL78" i="41"/>
  <c r="Z81" i="41"/>
  <c r="AA75" i="41"/>
  <c r="AF40" i="41"/>
  <c r="H13" i="41"/>
  <c r="H15" i="41" s="1"/>
  <c r="AM75" i="41"/>
  <c r="AL76" i="41"/>
  <c r="C24" i="38"/>
  <c r="Z27" i="38"/>
  <c r="H13" i="40"/>
  <c r="H15" i="40" s="1"/>
  <c r="H8" i="40"/>
  <c r="D8" i="40" s="1"/>
  <c r="AE73" i="40"/>
  <c r="AD3" i="40"/>
  <c r="AE40" i="40"/>
  <c r="Y81" i="40"/>
  <c r="Z75" i="40"/>
  <c r="W44" i="39"/>
  <c r="W47" i="39" s="1"/>
  <c r="Z3" i="39"/>
  <c r="AB74" i="39"/>
  <c r="Y80" i="39"/>
  <c r="Z75" i="39"/>
  <c r="Z78" i="39" s="1"/>
  <c r="Z40" i="39"/>
  <c r="F8" i="39"/>
  <c r="F13" i="39" s="1"/>
  <c r="F49" i="39"/>
  <c r="G42" i="39"/>
  <c r="Y27" i="38"/>
  <c r="C76" i="38"/>
  <c r="C78" i="38" s="1"/>
  <c r="X40" i="38"/>
  <c r="X74" i="38"/>
  <c r="F80" i="38"/>
  <c r="G75" i="38"/>
  <c r="G78" i="38" s="1"/>
  <c r="V80" i="38"/>
  <c r="W75" i="38"/>
  <c r="W78" i="38" s="1"/>
  <c r="AD43" i="38"/>
  <c r="W27" i="38"/>
  <c r="AA27" i="38"/>
  <c r="Y43" i="38"/>
  <c r="AC43" i="38"/>
  <c r="Z43" i="38"/>
  <c r="V27" i="38"/>
  <c r="E44" i="38"/>
  <c r="E47" i="38" s="1"/>
  <c r="C61" i="38"/>
  <c r="V43" i="38"/>
  <c r="C19" i="38"/>
  <c r="H40" i="38"/>
  <c r="C12" i="38"/>
  <c r="C11" i="38"/>
  <c r="AM10" i="38"/>
  <c r="AK10" i="38"/>
  <c r="AJ10" i="38"/>
  <c r="AI10" i="38"/>
  <c r="AH10" i="38"/>
  <c r="C10" i="38"/>
  <c r="C9" i="38"/>
  <c r="E8" i="38"/>
  <c r="E13" i="38" s="1"/>
  <c r="D7" i="38"/>
  <c r="D6" i="38"/>
  <c r="W3" i="38"/>
  <c r="V3" i="38"/>
  <c r="G3" i="38"/>
  <c r="H3" i="38" s="1"/>
  <c r="F3" i="38"/>
  <c r="Z48" i="39"/>
  <c r="F14" i="38"/>
  <c r="AE80" i="40"/>
  <c r="X79" i="38"/>
  <c r="Z14" i="39"/>
  <c r="Y91" i="37"/>
  <c r="X48" i="38"/>
  <c r="AD14" i="40"/>
  <c r="AB79" i="39"/>
  <c r="G14" i="38"/>
  <c r="AE48" i="40"/>
  <c r="W14" i="38"/>
  <c r="AF48" i="41"/>
  <c r="V14" i="38"/>
  <c r="H14" i="38"/>
  <c r="H48" i="38"/>
  <c r="AF14" i="42"/>
  <c r="AL76" i="47" l="1"/>
  <c r="AM81" i="47" s="1"/>
  <c r="C77" i="47"/>
  <c r="AF79" i="47"/>
  <c r="AF81" i="47" s="1"/>
  <c r="AE49" i="46"/>
  <c r="AF42" i="46"/>
  <c r="AE77" i="45"/>
  <c r="AE79" i="45" s="1"/>
  <c r="AC44" i="44"/>
  <c r="AC47" i="44" s="1"/>
  <c r="AC81" i="43"/>
  <c r="AD75" i="43"/>
  <c r="AA44" i="42"/>
  <c r="AA47" i="42" s="1"/>
  <c r="AA77" i="41"/>
  <c r="AA79" i="41" s="1"/>
  <c r="AM81" i="41"/>
  <c r="AE3" i="40"/>
  <c r="AF40" i="40"/>
  <c r="Z77" i="40"/>
  <c r="Z79" i="40" s="1"/>
  <c r="AF73" i="40"/>
  <c r="W49" i="39"/>
  <c r="X42" i="39"/>
  <c r="G44" i="39"/>
  <c r="AA3" i="39"/>
  <c r="AA40" i="39"/>
  <c r="F15" i="39"/>
  <c r="G5" i="39"/>
  <c r="Z80" i="39"/>
  <c r="AA75" i="39"/>
  <c r="AA78" i="39" s="1"/>
  <c r="AC74" i="39"/>
  <c r="C27" i="38"/>
  <c r="C43" i="38"/>
  <c r="E49" i="38"/>
  <c r="F42" i="38"/>
  <c r="E15" i="38"/>
  <c r="F5" i="38"/>
  <c r="G80" i="38"/>
  <c r="H75" i="38"/>
  <c r="H78" i="38" s="1"/>
  <c r="H80" i="38" s="1"/>
  <c r="W80" i="38"/>
  <c r="X75" i="38"/>
  <c r="X78" i="38" s="1"/>
  <c r="Y74" i="38"/>
  <c r="Y40" i="38"/>
  <c r="V44" i="38"/>
  <c r="V47" i="38" s="1"/>
  <c r="X3" i="38"/>
  <c r="C78" i="37"/>
  <c r="F77" i="37"/>
  <c r="H76" i="37"/>
  <c r="D76" i="37" s="1"/>
  <c r="E76" i="37"/>
  <c r="E77" i="37" s="1"/>
  <c r="AL75" i="37"/>
  <c r="V75" i="37"/>
  <c r="V79" i="37" s="1"/>
  <c r="AH74" i="37"/>
  <c r="V73" i="37"/>
  <c r="W73" i="37" s="1"/>
  <c r="F73" i="37"/>
  <c r="G73" i="37" s="1"/>
  <c r="H73" i="37" s="1"/>
  <c r="W63" i="37"/>
  <c r="X63" i="37" s="1"/>
  <c r="Y63" i="37" s="1"/>
  <c r="Z63" i="37" s="1"/>
  <c r="AA63" i="37" s="1"/>
  <c r="AB63" i="37" s="1"/>
  <c r="AC63" i="37" s="1"/>
  <c r="AD63" i="37" s="1"/>
  <c r="AE63" i="37" s="1"/>
  <c r="AF63" i="37" s="1"/>
  <c r="V63" i="37"/>
  <c r="F63" i="37"/>
  <c r="G63" i="37" s="1"/>
  <c r="H63" i="37" s="1"/>
  <c r="W61" i="37"/>
  <c r="D61" i="37"/>
  <c r="C61" i="37"/>
  <c r="H60" i="37"/>
  <c r="G60" i="37"/>
  <c r="F60" i="37"/>
  <c r="D59" i="37"/>
  <c r="C59" i="37"/>
  <c r="AG58" i="37"/>
  <c r="AF58" i="37"/>
  <c r="AE58" i="37"/>
  <c r="AD58" i="37"/>
  <c r="AC58" i="37"/>
  <c r="AB58" i="37"/>
  <c r="AA58" i="37"/>
  <c r="Z58" i="37"/>
  <c r="Y58" i="37"/>
  <c r="X58" i="37"/>
  <c r="W58" i="37"/>
  <c r="V58" i="37"/>
  <c r="U58" i="37"/>
  <c r="D58" i="37"/>
  <c r="D57" i="37"/>
  <c r="C57" i="37"/>
  <c r="D56" i="37"/>
  <c r="C56" i="37"/>
  <c r="D55" i="37"/>
  <c r="D54" i="37"/>
  <c r="D53" i="37"/>
  <c r="D52" i="37"/>
  <c r="W51" i="37"/>
  <c r="X51" i="37" s="1"/>
  <c r="Y51" i="37" s="1"/>
  <c r="Z51" i="37" s="1"/>
  <c r="AA51" i="37" s="1"/>
  <c r="AB51" i="37" s="1"/>
  <c r="AC51" i="37" s="1"/>
  <c r="AD51" i="37" s="1"/>
  <c r="AE51" i="37" s="1"/>
  <c r="AF51" i="37" s="1"/>
  <c r="V51" i="37"/>
  <c r="G51" i="37"/>
  <c r="H51" i="37" s="1"/>
  <c r="F51" i="37"/>
  <c r="AG49" i="37"/>
  <c r="AA14" i="39"/>
  <c r="Y48" i="38"/>
  <c r="X14" i="38"/>
  <c r="T48" i="37"/>
  <c r="S48" i="37"/>
  <c r="AF80" i="40"/>
  <c r="AC79" i="39"/>
  <c r="AA48" i="39"/>
  <c r="U48" i="37"/>
  <c r="E48" i="37"/>
  <c r="AF48" i="40"/>
  <c r="V80" i="37"/>
  <c r="W80" i="37"/>
  <c r="AE14" i="40"/>
  <c r="Y79" i="38"/>
  <c r="D60" i="37" l="1"/>
  <c r="AF44" i="46"/>
  <c r="C44" i="46" s="1"/>
  <c r="C47" i="46" s="1"/>
  <c r="AE81" i="45"/>
  <c r="AF75" i="45"/>
  <c r="AC49" i="44"/>
  <c r="AD42" i="44"/>
  <c r="AD77" i="43"/>
  <c r="AD79" i="43" s="1"/>
  <c r="AA49" i="42"/>
  <c r="AB42" i="42"/>
  <c r="AA81" i="41"/>
  <c r="AB75" i="41"/>
  <c r="C58" i="37"/>
  <c r="AM78" i="40"/>
  <c r="AM77" i="40"/>
  <c r="AL78" i="40"/>
  <c r="AM75" i="40"/>
  <c r="AL76" i="40"/>
  <c r="AL77" i="40"/>
  <c r="Z81" i="40"/>
  <c r="AA75" i="40"/>
  <c r="AF3" i="40"/>
  <c r="AD74" i="39"/>
  <c r="G8" i="39"/>
  <c r="AB3" i="39"/>
  <c r="X44" i="39"/>
  <c r="AA80" i="39"/>
  <c r="AB75" i="39"/>
  <c r="AB78" i="39" s="1"/>
  <c r="AB40" i="39"/>
  <c r="G47" i="39"/>
  <c r="F13" i="38"/>
  <c r="F8" i="38"/>
  <c r="V49" i="38"/>
  <c r="W42" i="38"/>
  <c r="Y3" i="38"/>
  <c r="Z40" i="38"/>
  <c r="X80" i="38"/>
  <c r="Y75" i="38"/>
  <c r="Y78" i="38" s="1"/>
  <c r="F44" i="38"/>
  <c r="F47" i="38" s="1"/>
  <c r="Z74" i="38"/>
  <c r="V81" i="37"/>
  <c r="W75" i="37"/>
  <c r="H77" i="37"/>
  <c r="D77" i="37" s="1"/>
  <c r="X73" i="37"/>
  <c r="AK47" i="37"/>
  <c r="AJ47" i="37"/>
  <c r="AI47" i="37"/>
  <c r="AH47" i="37"/>
  <c r="AK46" i="37"/>
  <c r="AJ46" i="37"/>
  <c r="AI46" i="37"/>
  <c r="AF46" i="37"/>
  <c r="C46" i="37" s="1"/>
  <c r="T46" i="37"/>
  <c r="AE45" i="37"/>
  <c r="C45" i="37"/>
  <c r="S44" i="37"/>
  <c r="S47" i="37" s="1"/>
  <c r="H43" i="37"/>
  <c r="D43" i="37" s="1"/>
  <c r="E43" i="37"/>
  <c r="AH41" i="37"/>
  <c r="W40" i="37"/>
  <c r="X40" i="37" s="1"/>
  <c r="V40" i="37"/>
  <c r="F40" i="37"/>
  <c r="G40" i="37" s="1"/>
  <c r="V30" i="37"/>
  <c r="W30" i="37" s="1"/>
  <c r="X30" i="37" s="1"/>
  <c r="Y30" i="37" s="1"/>
  <c r="Z30" i="37" s="1"/>
  <c r="AA30" i="37" s="1"/>
  <c r="AB30" i="37" s="1"/>
  <c r="AC30" i="37" s="1"/>
  <c r="AD30" i="37" s="1"/>
  <c r="AE30" i="37" s="1"/>
  <c r="AF30" i="37" s="1"/>
  <c r="F30" i="37"/>
  <c r="G30" i="37" s="1"/>
  <c r="H30" i="37" s="1"/>
  <c r="D28" i="37"/>
  <c r="C28" i="37"/>
  <c r="H27" i="37"/>
  <c r="G27" i="37"/>
  <c r="D27" i="37" s="1"/>
  <c r="E27" i="37"/>
  <c r="D26" i="37"/>
  <c r="C26" i="37"/>
  <c r="D25" i="37"/>
  <c r="C25" i="37"/>
  <c r="AF24" i="37"/>
  <c r="AE24" i="37"/>
  <c r="AD24" i="37"/>
  <c r="AC24" i="37"/>
  <c r="AB24" i="37"/>
  <c r="AA24" i="37"/>
  <c r="Z24" i="37"/>
  <c r="Y24" i="37"/>
  <c r="X24" i="37"/>
  <c r="W24" i="37"/>
  <c r="C24" i="37" s="1"/>
  <c r="V24" i="37"/>
  <c r="U24" i="37"/>
  <c r="D24" i="37"/>
  <c r="D23" i="37"/>
  <c r="C23" i="37"/>
  <c r="D22" i="37"/>
  <c r="C22" i="37"/>
  <c r="D21" i="37"/>
  <c r="C21" i="37"/>
  <c r="D20" i="37"/>
  <c r="D19" i="37"/>
  <c r="V18" i="37"/>
  <c r="W18" i="37" s="1"/>
  <c r="X18" i="37" s="1"/>
  <c r="Y18" i="37" s="1"/>
  <c r="Z18" i="37" s="1"/>
  <c r="AA18" i="37" s="1"/>
  <c r="AB18" i="37" s="1"/>
  <c r="AC18" i="37" s="1"/>
  <c r="AD18" i="37" s="1"/>
  <c r="AE18" i="37" s="1"/>
  <c r="AF18" i="37" s="1"/>
  <c r="F18" i="37"/>
  <c r="G18" i="37" s="1"/>
  <c r="H18" i="37" s="1"/>
  <c r="S14" i="37"/>
  <c r="AB14" i="39"/>
  <c r="E14" i="37"/>
  <c r="W48" i="37"/>
  <c r="U14" i="37"/>
  <c r="X80" i="37"/>
  <c r="Z79" i="38"/>
  <c r="Z48" i="38"/>
  <c r="V48" i="37"/>
  <c r="X48" i="37"/>
  <c r="AF14" i="40"/>
  <c r="Y14" i="38"/>
  <c r="G48" i="37"/>
  <c r="AB48" i="39"/>
  <c r="AD79" i="39"/>
  <c r="T14" i="37"/>
  <c r="F48" i="37"/>
  <c r="AF47" i="46" l="1"/>
  <c r="AF49" i="46" s="1"/>
  <c r="AF77" i="45"/>
  <c r="C77" i="45" s="1"/>
  <c r="AD44" i="44"/>
  <c r="AD47" i="44" s="1"/>
  <c r="AD81" i="43"/>
  <c r="AE75" i="43"/>
  <c r="AB44" i="42"/>
  <c r="AB47" i="42" s="1"/>
  <c r="AB79" i="41"/>
  <c r="AB77" i="41"/>
  <c r="AM81" i="40"/>
  <c r="AA77" i="40"/>
  <c r="AA79" i="40" s="1"/>
  <c r="AC40" i="39"/>
  <c r="AC3" i="39"/>
  <c r="G49" i="39"/>
  <c r="H42" i="39"/>
  <c r="AB80" i="39"/>
  <c r="AC75" i="39"/>
  <c r="AC78" i="39" s="1"/>
  <c r="AE74" i="39"/>
  <c r="X47" i="39"/>
  <c r="G13" i="39"/>
  <c r="F49" i="38"/>
  <c r="G42" i="38"/>
  <c r="AA74" i="38"/>
  <c r="Y80" i="38"/>
  <c r="Z75" i="38"/>
  <c r="Z78" i="38" s="1"/>
  <c r="Z3" i="38"/>
  <c r="F15" i="38"/>
  <c r="G5" i="38"/>
  <c r="AA40" i="38"/>
  <c r="W44" i="38"/>
  <c r="S49" i="37"/>
  <c r="T42" i="37"/>
  <c r="T47" i="37" s="1"/>
  <c r="W77" i="37"/>
  <c r="W79" i="37" s="1"/>
  <c r="Y73" i="37"/>
  <c r="H40" i="37"/>
  <c r="Y40" i="37"/>
  <c r="S13" i="37"/>
  <c r="S15" i="37" s="1"/>
  <c r="C12" i="37"/>
  <c r="C11" i="37"/>
  <c r="AM10" i="37"/>
  <c r="AK10" i="37"/>
  <c r="AJ10" i="37"/>
  <c r="AI10" i="37"/>
  <c r="AH10" i="37"/>
  <c r="C10" i="37"/>
  <c r="C9" i="37"/>
  <c r="E8" i="37"/>
  <c r="E13" i="37" s="1"/>
  <c r="D7" i="37"/>
  <c r="D6" i="37"/>
  <c r="T5" i="37"/>
  <c r="T13" i="37" s="1"/>
  <c r="V3" i="37"/>
  <c r="F3" i="37"/>
  <c r="G3" i="37" s="1"/>
  <c r="H3" i="37" s="1"/>
  <c r="G14" i="37"/>
  <c r="AA79" i="38"/>
  <c r="Y48" i="37"/>
  <c r="H48" i="37"/>
  <c r="AC48" i="39"/>
  <c r="F14" i="37"/>
  <c r="H14" i="37"/>
  <c r="Z14" i="38"/>
  <c r="AA48" i="38"/>
  <c r="Y80" i="37"/>
  <c r="V14" i="37"/>
  <c r="AC14" i="39"/>
  <c r="AE79" i="39"/>
  <c r="X83" i="16"/>
  <c r="E15" i="37" l="1"/>
  <c r="F5" i="37"/>
  <c r="F8" i="37" s="1"/>
  <c r="T15" i="37"/>
  <c r="U5" i="37"/>
  <c r="AF79" i="45"/>
  <c r="AF81" i="45" s="1"/>
  <c r="AD49" i="44"/>
  <c r="AE42" i="44"/>
  <c r="AE77" i="43"/>
  <c r="AE79" i="43" s="1"/>
  <c r="AB49" i="42"/>
  <c r="AC42" i="42"/>
  <c r="AB81" i="41"/>
  <c r="AC75" i="41"/>
  <c r="AA81" i="40"/>
  <c r="AB75" i="40"/>
  <c r="H44" i="39"/>
  <c r="D44" i="39" s="1"/>
  <c r="G15" i="39"/>
  <c r="H5" i="39"/>
  <c r="AF74" i="39"/>
  <c r="AC80" i="39"/>
  <c r="AD75" i="39"/>
  <c r="AD78" i="39" s="1"/>
  <c r="AD3" i="39"/>
  <c r="AD40" i="39"/>
  <c r="X49" i="39"/>
  <c r="Y42" i="39"/>
  <c r="AB40" i="38"/>
  <c r="AB74" i="38"/>
  <c r="G8" i="38"/>
  <c r="G13" i="38" s="1"/>
  <c r="G44" i="38"/>
  <c r="G47" i="38" s="1"/>
  <c r="W47" i="38"/>
  <c r="Z80" i="38"/>
  <c r="AA75" i="38"/>
  <c r="AA78" i="38" s="1"/>
  <c r="AA3" i="38"/>
  <c r="W81" i="37"/>
  <c r="X75" i="37"/>
  <c r="Z40" i="37"/>
  <c r="Z73" i="37"/>
  <c r="T49" i="37"/>
  <c r="U42" i="37"/>
  <c r="U47" i="37" s="1"/>
  <c r="F13" i="37"/>
  <c r="W3" i="37"/>
  <c r="C53" i="20"/>
  <c r="C44" i="20"/>
  <c r="C5" i="20"/>
  <c r="C9" i="20"/>
  <c r="C15" i="20"/>
  <c r="C12" i="20"/>
  <c r="C18" i="20"/>
  <c r="C6" i="20"/>
  <c r="T5" i="17"/>
  <c r="T13" i="17" s="1"/>
  <c r="S13" i="17"/>
  <c r="T46" i="17"/>
  <c r="AD14" i="39"/>
  <c r="W14" i="37"/>
  <c r="AB79" i="38"/>
  <c r="T48" i="33"/>
  <c r="AD48" i="39"/>
  <c r="AF79" i="39"/>
  <c r="S14" i="17"/>
  <c r="Z48" i="37"/>
  <c r="T14" i="17"/>
  <c r="Z80" i="37"/>
  <c r="AB48" i="38"/>
  <c r="AA14" i="38"/>
  <c r="H47" i="39" l="1"/>
  <c r="H49" i="39" s="1"/>
  <c r="AE44" i="44"/>
  <c r="AE47" i="44" s="1"/>
  <c r="AE81" i="43"/>
  <c r="AF75" i="43"/>
  <c r="AC44" i="42"/>
  <c r="AC47" i="42" s="1"/>
  <c r="AC79" i="41"/>
  <c r="AC77" i="41"/>
  <c r="AB77" i="40"/>
  <c r="AB79" i="40" s="1"/>
  <c r="AM73" i="39"/>
  <c r="AL72" i="39"/>
  <c r="AL73" i="39"/>
  <c r="AM72" i="39"/>
  <c r="AD80" i="39"/>
  <c r="AE75" i="39"/>
  <c r="AE78" i="39" s="1"/>
  <c r="Y47" i="39"/>
  <c r="Y44" i="39"/>
  <c r="AE3" i="39"/>
  <c r="H13" i="39"/>
  <c r="H15" i="39" s="1"/>
  <c r="H8" i="39"/>
  <c r="D8" i="39" s="1"/>
  <c r="AE40" i="39"/>
  <c r="G49" i="38"/>
  <c r="H42" i="38"/>
  <c r="W49" i="38"/>
  <c r="X42" i="38"/>
  <c r="AC40" i="38"/>
  <c r="AB3" i="38"/>
  <c r="G15" i="38"/>
  <c r="H5" i="38"/>
  <c r="AA80" i="38"/>
  <c r="AB75" i="38"/>
  <c r="AB78" i="38" s="1"/>
  <c r="AC74" i="38"/>
  <c r="AA73" i="37"/>
  <c r="X77" i="37"/>
  <c r="X79" i="37" s="1"/>
  <c r="F15" i="37"/>
  <c r="G5" i="37"/>
  <c r="U49" i="37"/>
  <c r="V42" i="37"/>
  <c r="X3" i="37"/>
  <c r="AA40" i="37"/>
  <c r="T15" i="17"/>
  <c r="S15" i="17"/>
  <c r="AZ26" i="36"/>
  <c r="AY26" i="36"/>
  <c r="AY27" i="36" s="1"/>
  <c r="AN7" i="36"/>
  <c r="AM6" i="36"/>
  <c r="AN45" i="35"/>
  <c r="AM46" i="35"/>
  <c r="BA61" i="35"/>
  <c r="AZ61" i="35"/>
  <c r="AN6" i="35"/>
  <c r="AM5" i="35"/>
  <c r="BA29" i="35"/>
  <c r="AE14" i="39"/>
  <c r="AB14" i="38"/>
  <c r="AA80" i="37"/>
  <c r="AC48" i="38"/>
  <c r="AA48" i="37"/>
  <c r="X14" i="37"/>
  <c r="AE48" i="39"/>
  <c r="AC79" i="38"/>
  <c r="AE49" i="44" l="1"/>
  <c r="AF42" i="44"/>
  <c r="AF79" i="43"/>
  <c r="AF81" i="43" s="1"/>
  <c r="AF77" i="43"/>
  <c r="AC49" i="42"/>
  <c r="AD42" i="42"/>
  <c r="AC81" i="41"/>
  <c r="AD75" i="41"/>
  <c r="AM76" i="39"/>
  <c r="AB81" i="40"/>
  <c r="AC75" i="40"/>
  <c r="AE80" i="39"/>
  <c r="AF75" i="39"/>
  <c r="AF78" i="39" s="1"/>
  <c r="AF80" i="39" s="1"/>
  <c r="Y49" i="39"/>
  <c r="Z42" i="39"/>
  <c r="AF3" i="39"/>
  <c r="AF40" i="39"/>
  <c r="AM39" i="39"/>
  <c r="AL40" i="39"/>
  <c r="AD40" i="38"/>
  <c r="H8" i="38"/>
  <c r="D8" i="38" s="1"/>
  <c r="AC3" i="38"/>
  <c r="AD74" i="38"/>
  <c r="AB80" i="38"/>
  <c r="AC75" i="38"/>
  <c r="AC78" i="38" s="1"/>
  <c r="X44" i="38"/>
  <c r="X47" i="38" s="1"/>
  <c r="H44" i="38"/>
  <c r="D44" i="38" s="1"/>
  <c r="AB73" i="37"/>
  <c r="G8" i="37"/>
  <c r="Y3" i="37"/>
  <c r="X81" i="37"/>
  <c r="Y75" i="37"/>
  <c r="AB40" i="37"/>
  <c r="AY8" i="36"/>
  <c r="AM5" i="36" s="1"/>
  <c r="S8" i="36"/>
  <c r="AB48" i="37"/>
  <c r="T14" i="36"/>
  <c r="S14" i="36"/>
  <c r="U14" i="36"/>
  <c r="AB80" i="37"/>
  <c r="AD48" i="38"/>
  <c r="Y14" i="37"/>
  <c r="AF48" i="39"/>
  <c r="AC14" i="38"/>
  <c r="AF14" i="39"/>
  <c r="AD79" i="38"/>
  <c r="AF44" i="44" l="1"/>
  <c r="AF47" i="44" s="1"/>
  <c r="AF49" i="44" s="1"/>
  <c r="AL76" i="43"/>
  <c r="AM81" i="43" s="1"/>
  <c r="C77" i="43"/>
  <c r="AD44" i="42"/>
  <c r="AD47" i="42" s="1"/>
  <c r="AD77" i="41"/>
  <c r="AD79" i="41" s="1"/>
  <c r="AC77" i="40"/>
  <c r="AC79" i="40" s="1"/>
  <c r="Z44" i="39"/>
  <c r="Z47" i="39" s="1"/>
  <c r="AM42" i="39"/>
  <c r="AL42" i="39"/>
  <c r="AL41" i="39"/>
  <c r="AM41" i="39"/>
  <c r="AC80" i="38"/>
  <c r="AD75" i="38"/>
  <c r="AD78" i="38" s="1"/>
  <c r="X49" i="38"/>
  <c r="Y42" i="38"/>
  <c r="AD3" i="38"/>
  <c r="AE40" i="38"/>
  <c r="AE74" i="38"/>
  <c r="H47" i="38"/>
  <c r="H49" i="38" s="1"/>
  <c r="H13" i="38"/>
  <c r="H15" i="38" s="1"/>
  <c r="AC40" i="37"/>
  <c r="AC73" i="37"/>
  <c r="Y77" i="37"/>
  <c r="Y79" i="37" s="1"/>
  <c r="Z3" i="37"/>
  <c r="G13" i="37"/>
  <c r="T8" i="36"/>
  <c r="T13" i="36" s="1"/>
  <c r="S13" i="36"/>
  <c r="S15" i="36" s="1"/>
  <c r="AE48" i="38"/>
  <c r="AE79" i="38"/>
  <c r="V79" i="36"/>
  <c r="E79" i="36"/>
  <c r="Z14" i="37"/>
  <c r="AC80" i="37"/>
  <c r="AD14" i="38"/>
  <c r="AC48" i="37"/>
  <c r="AL40" i="44" l="1"/>
  <c r="AM45" i="44" s="1"/>
  <c r="C44" i="44"/>
  <c r="C47" i="44" s="1"/>
  <c r="AD49" i="42"/>
  <c r="AE42" i="42"/>
  <c r="AD81" i="41"/>
  <c r="AE75" i="41"/>
  <c r="AM45" i="39"/>
  <c r="AC81" i="40"/>
  <c r="AD75" i="40"/>
  <c r="Z49" i="39"/>
  <c r="AA42" i="39"/>
  <c r="AE3" i="38"/>
  <c r="AF74" i="38"/>
  <c r="AF40" i="38"/>
  <c r="AD80" i="38"/>
  <c r="AE75" i="38"/>
  <c r="AE78" i="38" s="1"/>
  <c r="Y44" i="38"/>
  <c r="Y47" i="38" s="1"/>
  <c r="AA3" i="37"/>
  <c r="AD40" i="37"/>
  <c r="G15" i="37"/>
  <c r="H5" i="37"/>
  <c r="Y81" i="37"/>
  <c r="Z75" i="37"/>
  <c r="AD73" i="37"/>
  <c r="T15" i="36"/>
  <c r="U5" i="36"/>
  <c r="C77" i="36"/>
  <c r="F76" i="36"/>
  <c r="E76" i="36"/>
  <c r="E78" i="36" s="1"/>
  <c r="D76" i="36"/>
  <c r="V75" i="36"/>
  <c r="W74" i="36"/>
  <c r="X74" i="36" s="1"/>
  <c r="Y74" i="36" s="1"/>
  <c r="F74" i="36"/>
  <c r="G74" i="36" s="1"/>
  <c r="AI71" i="36"/>
  <c r="W64" i="36"/>
  <c r="X64" i="36" s="1"/>
  <c r="Y64" i="36" s="1"/>
  <c r="Z64" i="36" s="1"/>
  <c r="AA64" i="36" s="1"/>
  <c r="AB64" i="36" s="1"/>
  <c r="AC64" i="36" s="1"/>
  <c r="AD64" i="36" s="1"/>
  <c r="AE64" i="36" s="1"/>
  <c r="AF64" i="36" s="1"/>
  <c r="AG64" i="36" s="1"/>
  <c r="F64" i="36"/>
  <c r="G64" i="36" s="1"/>
  <c r="H64" i="36" s="1"/>
  <c r="X62" i="36"/>
  <c r="C62" i="36" s="1"/>
  <c r="D62" i="36"/>
  <c r="H61" i="36"/>
  <c r="G61" i="36"/>
  <c r="F61" i="36"/>
  <c r="E61" i="36"/>
  <c r="AG60" i="36"/>
  <c r="AF60" i="36"/>
  <c r="AE60" i="36"/>
  <c r="AD60" i="36"/>
  <c r="AC60" i="36"/>
  <c r="AB60" i="36"/>
  <c r="AA60" i="36"/>
  <c r="Z60" i="36"/>
  <c r="Y60" i="36"/>
  <c r="X60" i="36"/>
  <c r="W60" i="36"/>
  <c r="V60" i="36"/>
  <c r="D60" i="36"/>
  <c r="AG59" i="36"/>
  <c r="AF59" i="36"/>
  <c r="AE59" i="36"/>
  <c r="AD59" i="36"/>
  <c r="AC59" i="36"/>
  <c r="AB59" i="36"/>
  <c r="AA59" i="36"/>
  <c r="Z59" i="36"/>
  <c r="Y59" i="36"/>
  <c r="X59" i="36"/>
  <c r="W59" i="36"/>
  <c r="V59" i="36"/>
  <c r="D59" i="36"/>
  <c r="AG58" i="36"/>
  <c r="AF58" i="36"/>
  <c r="AE58" i="36"/>
  <c r="AD58" i="36"/>
  <c r="AC58" i="36"/>
  <c r="AB58" i="36"/>
  <c r="AA58" i="36"/>
  <c r="Z58" i="36"/>
  <c r="Y58" i="36"/>
  <c r="X58" i="36"/>
  <c r="W58" i="36"/>
  <c r="V58" i="36"/>
  <c r="D58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D57" i="36"/>
  <c r="AG56" i="36"/>
  <c r="AF56" i="36"/>
  <c r="AE56" i="36"/>
  <c r="AD56" i="36"/>
  <c r="AC56" i="36"/>
  <c r="AB56" i="36"/>
  <c r="AA56" i="36"/>
  <c r="Z56" i="36"/>
  <c r="Y56" i="36"/>
  <c r="X56" i="36"/>
  <c r="W56" i="36"/>
  <c r="V56" i="36"/>
  <c r="D56" i="36"/>
  <c r="AG55" i="36"/>
  <c r="AF55" i="36"/>
  <c r="AE55" i="36"/>
  <c r="AD55" i="36"/>
  <c r="AC55" i="36"/>
  <c r="AB55" i="36"/>
  <c r="AA55" i="36"/>
  <c r="Z55" i="36"/>
  <c r="Y55" i="36"/>
  <c r="X55" i="36"/>
  <c r="W55" i="36"/>
  <c r="V55" i="36"/>
  <c r="D55" i="36"/>
  <c r="AG54" i="36"/>
  <c r="AF54" i="36"/>
  <c r="AE54" i="36"/>
  <c r="AD54" i="36"/>
  <c r="AC54" i="36"/>
  <c r="AB54" i="36"/>
  <c r="AA54" i="36"/>
  <c r="Z54" i="36"/>
  <c r="Y54" i="36"/>
  <c r="X54" i="36"/>
  <c r="W54" i="36"/>
  <c r="V54" i="36"/>
  <c r="D54" i="36"/>
  <c r="AG53" i="36"/>
  <c r="AF53" i="36"/>
  <c r="AE53" i="36"/>
  <c r="AD53" i="36"/>
  <c r="AC53" i="36"/>
  <c r="AB53" i="36"/>
  <c r="AA53" i="36"/>
  <c r="Z53" i="36"/>
  <c r="Y53" i="36"/>
  <c r="X53" i="36"/>
  <c r="W53" i="36"/>
  <c r="V53" i="36"/>
  <c r="D53" i="36"/>
  <c r="W52" i="36"/>
  <c r="X52" i="36" s="1"/>
  <c r="Y52" i="36" s="1"/>
  <c r="Z52" i="36" s="1"/>
  <c r="AA52" i="36" s="1"/>
  <c r="AB52" i="36" s="1"/>
  <c r="AC52" i="36" s="1"/>
  <c r="AD52" i="36" s="1"/>
  <c r="AE52" i="36" s="1"/>
  <c r="AF52" i="36" s="1"/>
  <c r="AG52" i="36" s="1"/>
  <c r="F52" i="36"/>
  <c r="G52" i="36" s="1"/>
  <c r="H52" i="36" s="1"/>
  <c r="V48" i="36"/>
  <c r="Y79" i="36"/>
  <c r="AF48" i="38"/>
  <c r="E48" i="36"/>
  <c r="AA14" i="37"/>
  <c r="W79" i="36"/>
  <c r="X79" i="36"/>
  <c r="AD48" i="37"/>
  <c r="AF79" i="38"/>
  <c r="AD80" i="37"/>
  <c r="F79" i="36"/>
  <c r="AE14" i="38"/>
  <c r="G79" i="36"/>
  <c r="AE44" i="42" l="1"/>
  <c r="AE47" i="42" s="1"/>
  <c r="AE77" i="41"/>
  <c r="AE79" i="41" s="1"/>
  <c r="AD77" i="40"/>
  <c r="AD79" i="40" s="1"/>
  <c r="AA44" i="39"/>
  <c r="AA47" i="39" s="1"/>
  <c r="AF3" i="38"/>
  <c r="Y49" i="38"/>
  <c r="Z42" i="38"/>
  <c r="AM41" i="38"/>
  <c r="AL42" i="38"/>
  <c r="AM42" i="38"/>
  <c r="AL40" i="38"/>
  <c r="AL41" i="38"/>
  <c r="AM39" i="38"/>
  <c r="AE80" i="38"/>
  <c r="AF75" i="38"/>
  <c r="AF78" i="38" s="1"/>
  <c r="AF80" i="38" s="1"/>
  <c r="AL72" i="38"/>
  <c r="AM72" i="38"/>
  <c r="AL73" i="38"/>
  <c r="AM73" i="38"/>
  <c r="H8" i="37"/>
  <c r="D8" i="37" s="1"/>
  <c r="AB3" i="37"/>
  <c r="Z77" i="37"/>
  <c r="Z79" i="37" s="1"/>
  <c r="AE40" i="37"/>
  <c r="AE73" i="37"/>
  <c r="D61" i="36"/>
  <c r="U8" i="36"/>
  <c r="U13" i="36" s="1"/>
  <c r="U15" i="36" s="1"/>
  <c r="AD76" i="36"/>
  <c r="X76" i="36"/>
  <c r="AB76" i="36"/>
  <c r="AF61" i="36"/>
  <c r="W76" i="36"/>
  <c r="AE76" i="36"/>
  <c r="C54" i="36"/>
  <c r="C55" i="36"/>
  <c r="C58" i="36"/>
  <c r="C59" i="36"/>
  <c r="AA76" i="36"/>
  <c r="V61" i="36"/>
  <c r="Z61" i="36"/>
  <c r="AD61" i="36"/>
  <c r="Z76" i="36"/>
  <c r="Y76" i="36"/>
  <c r="AC76" i="36"/>
  <c r="AG61" i="36"/>
  <c r="C56" i="36"/>
  <c r="C57" i="36"/>
  <c r="C60" i="36"/>
  <c r="V76" i="36"/>
  <c r="E80" i="36"/>
  <c r="F75" i="36"/>
  <c r="F78" i="36" s="1"/>
  <c r="AC61" i="36"/>
  <c r="C53" i="36"/>
  <c r="X61" i="36"/>
  <c r="AB61" i="36"/>
  <c r="W61" i="36"/>
  <c r="AA61" i="36"/>
  <c r="AE61" i="36"/>
  <c r="Y61" i="36"/>
  <c r="H74" i="36"/>
  <c r="Z74" i="36"/>
  <c r="AG46" i="36"/>
  <c r="C46" i="36" s="1"/>
  <c r="AF45" i="36"/>
  <c r="C45" i="36" s="1"/>
  <c r="AN44" i="36"/>
  <c r="AM44" i="36"/>
  <c r="AL44" i="36"/>
  <c r="AK44" i="36"/>
  <c r="AJ44" i="36"/>
  <c r="AI44" i="36"/>
  <c r="AL43" i="36"/>
  <c r="AK43" i="36"/>
  <c r="AJ43" i="36"/>
  <c r="F43" i="36"/>
  <c r="E43" i="36"/>
  <c r="D43" i="36"/>
  <c r="V42" i="36"/>
  <c r="W40" i="36"/>
  <c r="X40" i="36" s="1"/>
  <c r="F40" i="36"/>
  <c r="AI38" i="36"/>
  <c r="W30" i="36"/>
  <c r="X30" i="36" s="1"/>
  <c r="Y30" i="36" s="1"/>
  <c r="Z30" i="36" s="1"/>
  <c r="AA30" i="36" s="1"/>
  <c r="AB30" i="36" s="1"/>
  <c r="AC30" i="36" s="1"/>
  <c r="AD30" i="36" s="1"/>
  <c r="AE30" i="36" s="1"/>
  <c r="AF30" i="36" s="1"/>
  <c r="AG30" i="36" s="1"/>
  <c r="F30" i="36"/>
  <c r="G30" i="36" s="1"/>
  <c r="H30" i="36" s="1"/>
  <c r="D28" i="36"/>
  <c r="C28" i="36"/>
  <c r="H27" i="36"/>
  <c r="G27" i="36"/>
  <c r="F27" i="36"/>
  <c r="E27" i="36"/>
  <c r="AG26" i="36"/>
  <c r="AF26" i="36"/>
  <c r="AE26" i="36"/>
  <c r="AD26" i="36"/>
  <c r="AC26" i="36"/>
  <c r="AB26" i="36"/>
  <c r="AA26" i="36"/>
  <c r="Z26" i="36"/>
  <c r="Y26" i="36"/>
  <c r="X26" i="36"/>
  <c r="W26" i="36"/>
  <c r="V26" i="36"/>
  <c r="D26" i="36"/>
  <c r="D25" i="36"/>
  <c r="C25" i="36"/>
  <c r="AG24" i="36"/>
  <c r="AF24" i="36"/>
  <c r="AE24" i="36"/>
  <c r="AD24" i="36"/>
  <c r="AC24" i="36"/>
  <c r="AB24" i="36"/>
  <c r="AA24" i="36"/>
  <c r="Z24" i="36"/>
  <c r="Y24" i="36"/>
  <c r="X24" i="36"/>
  <c r="W24" i="36"/>
  <c r="V24" i="36"/>
  <c r="D24" i="36"/>
  <c r="D23" i="36"/>
  <c r="C23" i="36"/>
  <c r="AG22" i="36"/>
  <c r="AF22" i="36"/>
  <c r="AE22" i="36"/>
  <c r="AD22" i="36"/>
  <c r="AC22" i="36"/>
  <c r="AB22" i="36"/>
  <c r="AA22" i="36"/>
  <c r="Z22" i="36"/>
  <c r="Y22" i="36"/>
  <c r="X22" i="36"/>
  <c r="W22" i="36"/>
  <c r="V22" i="36"/>
  <c r="D22" i="36"/>
  <c r="D21" i="36"/>
  <c r="C21" i="36"/>
  <c r="AG20" i="36"/>
  <c r="AF20" i="36"/>
  <c r="AE20" i="36"/>
  <c r="AD20" i="36"/>
  <c r="AC20" i="36"/>
  <c r="AB20" i="36"/>
  <c r="AA20" i="36"/>
  <c r="Z20" i="36"/>
  <c r="Y20" i="36"/>
  <c r="X20" i="36"/>
  <c r="W20" i="36"/>
  <c r="V20" i="36"/>
  <c r="D20" i="36"/>
  <c r="AG19" i="36"/>
  <c r="AF19" i="36"/>
  <c r="AE19" i="36"/>
  <c r="AD19" i="36"/>
  <c r="AC19" i="36"/>
  <c r="AB19" i="36"/>
  <c r="AA19" i="36"/>
  <c r="Z19" i="36"/>
  <c r="Y19" i="36"/>
  <c r="X19" i="36"/>
  <c r="W19" i="36"/>
  <c r="V19" i="36"/>
  <c r="D19" i="36"/>
  <c r="W18" i="36"/>
  <c r="X18" i="36" s="1"/>
  <c r="Y18" i="36" s="1"/>
  <c r="Z18" i="36" s="1"/>
  <c r="AA18" i="36" s="1"/>
  <c r="AB18" i="36" s="1"/>
  <c r="AC18" i="36" s="1"/>
  <c r="AD18" i="36" s="1"/>
  <c r="AE18" i="36" s="1"/>
  <c r="AF18" i="36" s="1"/>
  <c r="AG18" i="36" s="1"/>
  <c r="F18" i="36"/>
  <c r="G18" i="36" s="1"/>
  <c r="H18" i="36" s="1"/>
  <c r="F48" i="36"/>
  <c r="AE80" i="37"/>
  <c r="AE48" i="37"/>
  <c r="Z79" i="36"/>
  <c r="E14" i="36"/>
  <c r="AF14" i="38"/>
  <c r="X48" i="36"/>
  <c r="W48" i="36"/>
  <c r="H79" i="36"/>
  <c r="AB14" i="37"/>
  <c r="V14" i="36"/>
  <c r="H13" i="37" l="1"/>
  <c r="H15" i="37" s="1"/>
  <c r="AE49" i="42"/>
  <c r="AF42" i="42"/>
  <c r="AE81" i="41"/>
  <c r="AF75" i="41"/>
  <c r="AD81" i="40"/>
  <c r="AE75" i="40"/>
  <c r="AA49" i="39"/>
  <c r="AB42" i="39"/>
  <c r="AM76" i="38"/>
  <c r="Z44" i="38"/>
  <c r="Z47" i="38" s="1"/>
  <c r="AM45" i="38"/>
  <c r="AF73" i="37"/>
  <c r="Z81" i="37"/>
  <c r="AA75" i="37"/>
  <c r="AC3" i="37"/>
  <c r="AF40" i="37"/>
  <c r="AC43" i="36"/>
  <c r="C24" i="36"/>
  <c r="C61" i="36"/>
  <c r="C19" i="36"/>
  <c r="D27" i="36"/>
  <c r="Y43" i="36"/>
  <c r="AG27" i="36"/>
  <c r="C76" i="36"/>
  <c r="C78" i="36" s="1"/>
  <c r="X43" i="36"/>
  <c r="AB27" i="36"/>
  <c r="AF27" i="36"/>
  <c r="C26" i="36"/>
  <c r="V78" i="36"/>
  <c r="W43" i="36"/>
  <c r="AA43" i="36"/>
  <c r="AE43" i="36"/>
  <c r="C20" i="36"/>
  <c r="V43" i="36"/>
  <c r="V44" i="36" s="1"/>
  <c r="Z43" i="36"/>
  <c r="AD43" i="36"/>
  <c r="C22" i="36"/>
  <c r="AB43" i="36"/>
  <c r="W27" i="36"/>
  <c r="AE27" i="36"/>
  <c r="V27" i="36"/>
  <c r="Z27" i="36"/>
  <c r="AD27" i="36"/>
  <c r="F80" i="36"/>
  <c r="G75" i="36"/>
  <c r="G78" i="36" s="1"/>
  <c r="AA74" i="36"/>
  <c r="X27" i="36"/>
  <c r="AA27" i="36"/>
  <c r="Y27" i="36"/>
  <c r="AC27" i="36"/>
  <c r="G40" i="36"/>
  <c r="Y40" i="36"/>
  <c r="E44" i="36"/>
  <c r="E47" i="36" s="1"/>
  <c r="C12" i="36"/>
  <c r="C11" i="36"/>
  <c r="AN10" i="36"/>
  <c r="AL10" i="36"/>
  <c r="AK10" i="36"/>
  <c r="AJ10" i="36"/>
  <c r="AI10" i="36"/>
  <c r="C10" i="36"/>
  <c r="C9" i="36"/>
  <c r="E8" i="36"/>
  <c r="E13" i="36" s="1"/>
  <c r="E15" i="36" s="1"/>
  <c r="D7" i="36"/>
  <c r="D6" i="36"/>
  <c r="V5" i="36"/>
  <c r="W3" i="36"/>
  <c r="X3" i="36" s="1"/>
  <c r="F3" i="36"/>
  <c r="AZ8" i="35"/>
  <c r="AF48" i="37"/>
  <c r="F14" i="36"/>
  <c r="X14" i="36"/>
  <c r="W14" i="36"/>
  <c r="Y48" i="36"/>
  <c r="AF80" i="37"/>
  <c r="AA79" i="36"/>
  <c r="G48" i="36"/>
  <c r="AC14" i="37"/>
  <c r="AF44" i="42" l="1"/>
  <c r="AF47" i="42" s="1"/>
  <c r="AF49" i="42" s="1"/>
  <c r="AF77" i="41"/>
  <c r="C77" i="41" s="1"/>
  <c r="AE77" i="40"/>
  <c r="AE79" i="40" s="1"/>
  <c r="AB44" i="39"/>
  <c r="AB47" i="39" s="1"/>
  <c r="Z49" i="38"/>
  <c r="AA42" i="38"/>
  <c r="AD3" i="37"/>
  <c r="AM78" i="37"/>
  <c r="AL78" i="37"/>
  <c r="AM77" i="37"/>
  <c r="AL77" i="37"/>
  <c r="AM75" i="37"/>
  <c r="AA77" i="37"/>
  <c r="AA79" i="37" s="1"/>
  <c r="AL76" i="37"/>
  <c r="C43" i="36"/>
  <c r="AZ63" i="35"/>
  <c r="AZ29" i="35"/>
  <c r="AZ31" i="35" s="1"/>
  <c r="AM7" i="35"/>
  <c r="W75" i="36"/>
  <c r="W78" i="36" s="1"/>
  <c r="V80" i="36"/>
  <c r="H40" i="36"/>
  <c r="E49" i="36"/>
  <c r="F42" i="36"/>
  <c r="Z40" i="36"/>
  <c r="G80" i="36"/>
  <c r="H75" i="36"/>
  <c r="H78" i="36" s="1"/>
  <c r="H80" i="36" s="1"/>
  <c r="C27" i="36"/>
  <c r="F5" i="36"/>
  <c r="AB74" i="36"/>
  <c r="G3" i="36"/>
  <c r="Y3" i="36"/>
  <c r="V47" i="36"/>
  <c r="G14" i="36"/>
  <c r="Z48" i="36"/>
  <c r="H48" i="36"/>
  <c r="AD14" i="37"/>
  <c r="AB79" i="36"/>
  <c r="Y14" i="36"/>
  <c r="AF79" i="41" l="1"/>
  <c r="AF81" i="41" s="1"/>
  <c r="AM39" i="42"/>
  <c r="AL40" i="42"/>
  <c r="C44" i="42"/>
  <c r="C47" i="42" s="1"/>
  <c r="AE81" i="40"/>
  <c r="AF75" i="40"/>
  <c r="AB49" i="39"/>
  <c r="AC42" i="39"/>
  <c r="AA44" i="38"/>
  <c r="AA47" i="38" s="1"/>
  <c r="AA81" i="37"/>
  <c r="AB75" i="37"/>
  <c r="AE3" i="37"/>
  <c r="AM81" i="37"/>
  <c r="X75" i="36"/>
  <c r="X78" i="36" s="1"/>
  <c r="W80" i="36"/>
  <c r="V49" i="36"/>
  <c r="W42" i="36"/>
  <c r="H3" i="36"/>
  <c r="AC74" i="36"/>
  <c r="F44" i="36"/>
  <c r="F47" i="36" s="1"/>
  <c r="F8" i="36"/>
  <c r="F13" i="36" s="1"/>
  <c r="AA40" i="36"/>
  <c r="Z3" i="36"/>
  <c r="H14" i="36"/>
  <c r="AA48" i="36"/>
  <c r="Z14" i="36"/>
  <c r="AE14" i="37"/>
  <c r="AC79" i="36"/>
  <c r="AM45" i="42" l="1"/>
  <c r="AF77" i="40"/>
  <c r="C77" i="40" s="1"/>
  <c r="AC44" i="39"/>
  <c r="AC47" i="39" s="1"/>
  <c r="AA49" i="38"/>
  <c r="AB42" i="38"/>
  <c r="AF3" i="37"/>
  <c r="AB77" i="37"/>
  <c r="AB79" i="37" s="1"/>
  <c r="Y75" i="36"/>
  <c r="Y78" i="36" s="1"/>
  <c r="X80" i="36"/>
  <c r="AA3" i="36"/>
  <c r="AB40" i="36"/>
  <c r="AD74" i="36"/>
  <c r="F49" i="36"/>
  <c r="G42" i="36"/>
  <c r="W44" i="36"/>
  <c r="F15" i="36"/>
  <c r="G5" i="36"/>
  <c r="AF14" i="37"/>
  <c r="AD79" i="36"/>
  <c r="AB48" i="36"/>
  <c r="AA14" i="36"/>
  <c r="AF79" i="40" l="1"/>
  <c r="AF81" i="40" s="1"/>
  <c r="AC49" i="39"/>
  <c r="AD42" i="39"/>
  <c r="AB44" i="38"/>
  <c r="AB47" i="38" s="1"/>
  <c r="AB81" i="37"/>
  <c r="AC75" i="37"/>
  <c r="Y80" i="36"/>
  <c r="Z75" i="36"/>
  <c r="Z78" i="36" s="1"/>
  <c r="G8" i="36"/>
  <c r="G13" i="36" s="1"/>
  <c r="G44" i="36"/>
  <c r="G47" i="36" s="1"/>
  <c r="AE74" i="36"/>
  <c r="AC40" i="36"/>
  <c r="AB3" i="36"/>
  <c r="W47" i="36"/>
  <c r="AB14" i="36"/>
  <c r="AC48" i="36"/>
  <c r="AE79" i="36"/>
  <c r="AD44" i="39" l="1"/>
  <c r="AD47" i="39" s="1"/>
  <c r="AB49" i="38"/>
  <c r="AC42" i="38"/>
  <c r="AC79" i="37"/>
  <c r="AC77" i="37"/>
  <c r="AA75" i="36"/>
  <c r="AA78" i="36" s="1"/>
  <c r="Z80" i="36"/>
  <c r="AD40" i="36"/>
  <c r="G15" i="36"/>
  <c r="H5" i="36"/>
  <c r="W49" i="36"/>
  <c r="X42" i="36"/>
  <c r="AC3" i="36"/>
  <c r="G49" i="36"/>
  <c r="H42" i="36"/>
  <c r="AF74" i="36"/>
  <c r="AD48" i="36"/>
  <c r="AC14" i="36"/>
  <c r="AF79" i="36"/>
  <c r="AD49" i="39" l="1"/>
  <c r="AE42" i="39"/>
  <c r="AC44" i="38"/>
  <c r="AC47" i="38" s="1"/>
  <c r="AC81" i="37"/>
  <c r="AD75" i="37"/>
  <c r="AB75" i="36"/>
  <c r="AB78" i="36" s="1"/>
  <c r="AA80" i="36"/>
  <c r="H44" i="36"/>
  <c r="D44" i="36" s="1"/>
  <c r="X44" i="36"/>
  <c r="X47" i="36" s="1"/>
  <c r="AG74" i="36"/>
  <c r="AD3" i="36"/>
  <c r="AE40" i="36"/>
  <c r="H8" i="36"/>
  <c r="D8" i="36" s="1"/>
  <c r="AD14" i="36"/>
  <c r="AG79" i="36"/>
  <c r="AE48" i="36"/>
  <c r="AE44" i="39" l="1"/>
  <c r="AE47" i="39" s="1"/>
  <c r="AC49" i="38"/>
  <c r="AD42" i="38"/>
  <c r="AD77" i="37"/>
  <c r="AD79" i="37" s="1"/>
  <c r="H47" i="36"/>
  <c r="H49" i="36" s="1"/>
  <c r="H13" i="36"/>
  <c r="H15" i="36" s="1"/>
  <c r="AC75" i="36"/>
  <c r="AC78" i="36" s="1"/>
  <c r="AB80" i="36"/>
  <c r="AM73" i="36"/>
  <c r="AN72" i="36"/>
  <c r="AM72" i="36"/>
  <c r="AN73" i="36"/>
  <c r="X49" i="36"/>
  <c r="Y42" i="36"/>
  <c r="AE3" i="36"/>
  <c r="AF40" i="36"/>
  <c r="T5" i="35"/>
  <c r="S8" i="35"/>
  <c r="S44" i="33"/>
  <c r="T44" i="33"/>
  <c r="T14" i="35"/>
  <c r="V14" i="35"/>
  <c r="AE14" i="36"/>
  <c r="AF48" i="36"/>
  <c r="U14" i="35"/>
  <c r="AE49" i="39" l="1"/>
  <c r="AF42" i="39"/>
  <c r="AD44" i="38"/>
  <c r="AD47" i="38" s="1"/>
  <c r="AD81" i="37"/>
  <c r="AE75" i="37"/>
  <c r="AD75" i="36"/>
  <c r="AD78" i="36" s="1"/>
  <c r="AC80" i="36"/>
  <c r="AG40" i="36"/>
  <c r="AM42" i="36"/>
  <c r="AF3" i="36"/>
  <c r="AN76" i="36"/>
  <c r="Y44" i="36"/>
  <c r="Y47" i="36" s="1"/>
  <c r="AN39" i="36"/>
  <c r="T8" i="35"/>
  <c r="T13" i="35" s="1"/>
  <c r="U5" i="35" s="1"/>
  <c r="T44" i="35"/>
  <c r="T47" i="35" s="1"/>
  <c r="S44" i="35"/>
  <c r="S47" i="35" s="1"/>
  <c r="U48" i="35"/>
  <c r="AG48" i="36"/>
  <c r="S48" i="35"/>
  <c r="E80" i="35"/>
  <c r="T48" i="35"/>
  <c r="AF14" i="36"/>
  <c r="V80" i="35"/>
  <c r="Z91" i="35"/>
  <c r="AF44" i="39" l="1"/>
  <c r="C44" i="39" s="1"/>
  <c r="C47" i="39" s="1"/>
  <c r="AD49" i="38"/>
  <c r="AE42" i="38"/>
  <c r="AE77" i="37"/>
  <c r="AE79" i="37" s="1"/>
  <c r="AD80" i="36"/>
  <c r="AE75" i="36"/>
  <c r="AE78" i="36" s="1"/>
  <c r="Y49" i="36"/>
  <c r="Z42" i="36"/>
  <c r="AN42" i="36"/>
  <c r="AM40" i="36"/>
  <c r="AM41" i="36"/>
  <c r="AN41" i="36"/>
  <c r="AG3" i="36"/>
  <c r="U8" i="35"/>
  <c r="U13" i="35" s="1"/>
  <c r="U15" i="35" s="1"/>
  <c r="T15" i="35"/>
  <c r="S49" i="35"/>
  <c r="T49" i="35"/>
  <c r="U42" i="35"/>
  <c r="U44" i="35" s="1"/>
  <c r="C78" i="35"/>
  <c r="H76" i="35"/>
  <c r="D76" i="35" s="1"/>
  <c r="E76" i="35"/>
  <c r="AM77" i="35"/>
  <c r="V75" i="35"/>
  <c r="AI76" i="35"/>
  <c r="W73" i="35"/>
  <c r="X73" i="35" s="1"/>
  <c r="F73" i="35"/>
  <c r="W63" i="35"/>
  <c r="X63" i="35" s="1"/>
  <c r="Y63" i="35" s="1"/>
  <c r="Z63" i="35" s="1"/>
  <c r="AA63" i="35" s="1"/>
  <c r="AB63" i="35" s="1"/>
  <c r="AC63" i="35" s="1"/>
  <c r="AD63" i="35" s="1"/>
  <c r="AE63" i="35" s="1"/>
  <c r="AF63" i="35" s="1"/>
  <c r="AG63" i="35" s="1"/>
  <c r="F63" i="35"/>
  <c r="G63" i="35" s="1"/>
  <c r="H63" i="35" s="1"/>
  <c r="X61" i="35"/>
  <c r="C61" i="35" s="1"/>
  <c r="D61" i="35"/>
  <c r="H60" i="35"/>
  <c r="G60" i="35"/>
  <c r="F60" i="35"/>
  <c r="D59" i="35"/>
  <c r="C59" i="35"/>
  <c r="AH58" i="35"/>
  <c r="AG58" i="35"/>
  <c r="AF58" i="35"/>
  <c r="AE58" i="35"/>
  <c r="AD58" i="35"/>
  <c r="AC58" i="35"/>
  <c r="AB58" i="35"/>
  <c r="AA58" i="35"/>
  <c r="Z58" i="35"/>
  <c r="Y58" i="35"/>
  <c r="X58" i="35"/>
  <c r="W58" i="35"/>
  <c r="V58" i="35"/>
  <c r="D58" i="35"/>
  <c r="D57" i="35"/>
  <c r="C57" i="35"/>
  <c r="D56" i="35"/>
  <c r="C56" i="35"/>
  <c r="D55" i="35"/>
  <c r="D54" i="35"/>
  <c r="D53" i="35"/>
  <c r="D52" i="35"/>
  <c r="W51" i="35"/>
  <c r="X51" i="35" s="1"/>
  <c r="Y51" i="35" s="1"/>
  <c r="Z51" i="35" s="1"/>
  <c r="AA51" i="35" s="1"/>
  <c r="AB51" i="35" s="1"/>
  <c r="AC51" i="35" s="1"/>
  <c r="AD51" i="35" s="1"/>
  <c r="AE51" i="35" s="1"/>
  <c r="AF51" i="35" s="1"/>
  <c r="AG51" i="35" s="1"/>
  <c r="F51" i="35"/>
  <c r="G51" i="35" s="1"/>
  <c r="H51" i="35" s="1"/>
  <c r="AH49" i="35"/>
  <c r="W80" i="35"/>
  <c r="AG14" i="36"/>
  <c r="E48" i="35"/>
  <c r="X80" i="35"/>
  <c r="V48" i="35"/>
  <c r="F80" i="35"/>
  <c r="AF47" i="39" l="1"/>
  <c r="AF49" i="39" s="1"/>
  <c r="AE44" i="38"/>
  <c r="AE47" i="38" s="1"/>
  <c r="AE81" i="37"/>
  <c r="AF75" i="37"/>
  <c r="AF75" i="36"/>
  <c r="AF78" i="36" s="1"/>
  <c r="AE80" i="36"/>
  <c r="AN8" i="36"/>
  <c r="AM7" i="36"/>
  <c r="AM8" i="36"/>
  <c r="Z44" i="36"/>
  <c r="Z47" i="36" s="1"/>
  <c r="AN45" i="36"/>
  <c r="D60" i="35"/>
  <c r="E77" i="35"/>
  <c r="E79" i="35" s="1"/>
  <c r="C58" i="35"/>
  <c r="G73" i="35"/>
  <c r="Y73" i="35"/>
  <c r="AL49" i="35"/>
  <c r="AK49" i="35"/>
  <c r="AJ49" i="35"/>
  <c r="AI49" i="35"/>
  <c r="AL48" i="35"/>
  <c r="AK48" i="35"/>
  <c r="AJ48" i="35"/>
  <c r="AG46" i="35"/>
  <c r="C46" i="35" s="1"/>
  <c r="U47" i="35"/>
  <c r="AF45" i="35"/>
  <c r="C45" i="35" s="1"/>
  <c r="H43" i="35"/>
  <c r="D43" i="35" s="1"/>
  <c r="E43" i="35"/>
  <c r="AI43" i="35"/>
  <c r="W40" i="35"/>
  <c r="F40" i="35"/>
  <c r="G40" i="35" s="1"/>
  <c r="W30" i="35"/>
  <c r="X30" i="35" s="1"/>
  <c r="Y30" i="35" s="1"/>
  <c r="Z30" i="35" s="1"/>
  <c r="AA30" i="35" s="1"/>
  <c r="AB30" i="35" s="1"/>
  <c r="AC30" i="35" s="1"/>
  <c r="AD30" i="35" s="1"/>
  <c r="AE30" i="35" s="1"/>
  <c r="AF30" i="35" s="1"/>
  <c r="AG30" i="35" s="1"/>
  <c r="F30" i="35"/>
  <c r="G30" i="35" s="1"/>
  <c r="H30" i="35" s="1"/>
  <c r="D28" i="35"/>
  <c r="C28" i="35"/>
  <c r="H27" i="35"/>
  <c r="G27" i="35"/>
  <c r="E27" i="35"/>
  <c r="D26" i="35"/>
  <c r="C26" i="35"/>
  <c r="D25" i="35"/>
  <c r="C25" i="35"/>
  <c r="AG24" i="35"/>
  <c r="AF24" i="35"/>
  <c r="AE24" i="35"/>
  <c r="AD24" i="35"/>
  <c r="AC24" i="35"/>
  <c r="AB24" i="35"/>
  <c r="AA24" i="35"/>
  <c r="Z24" i="35"/>
  <c r="Y24" i="35"/>
  <c r="X24" i="35"/>
  <c r="W24" i="35"/>
  <c r="V24" i="35"/>
  <c r="D24" i="35"/>
  <c r="D23" i="35"/>
  <c r="C23" i="35"/>
  <c r="D22" i="35"/>
  <c r="C22" i="35"/>
  <c r="D21" i="35"/>
  <c r="C21" i="35"/>
  <c r="D20" i="35"/>
  <c r="D19" i="35"/>
  <c r="W18" i="35"/>
  <c r="X18" i="35" s="1"/>
  <c r="Y18" i="35" s="1"/>
  <c r="Z18" i="35" s="1"/>
  <c r="AA18" i="35" s="1"/>
  <c r="AB18" i="35" s="1"/>
  <c r="AC18" i="35" s="1"/>
  <c r="AD18" i="35" s="1"/>
  <c r="AE18" i="35" s="1"/>
  <c r="AF18" i="35" s="1"/>
  <c r="AG18" i="35" s="1"/>
  <c r="F18" i="35"/>
  <c r="G18" i="35" s="1"/>
  <c r="H18" i="35" s="1"/>
  <c r="W48" i="35"/>
  <c r="G48" i="35"/>
  <c r="F48" i="35"/>
  <c r="Y80" i="35"/>
  <c r="G80" i="35"/>
  <c r="E14" i="35"/>
  <c r="AE49" i="38" l="1"/>
  <c r="AF42" i="38"/>
  <c r="AF77" i="37"/>
  <c r="C77" i="37" s="1"/>
  <c r="AN11" i="36"/>
  <c r="AG75" i="36"/>
  <c r="AG78" i="36" s="1"/>
  <c r="AG80" i="36" s="1"/>
  <c r="AF80" i="36"/>
  <c r="Z49" i="36"/>
  <c r="AA42" i="36"/>
  <c r="F75" i="35"/>
  <c r="F77" i="35" s="1"/>
  <c r="F79" i="35" s="1"/>
  <c r="E81" i="35"/>
  <c r="V42" i="35"/>
  <c r="U49" i="35"/>
  <c r="C24" i="35"/>
  <c r="D27" i="35"/>
  <c r="H40" i="35"/>
  <c r="Z73" i="35"/>
  <c r="H73" i="35"/>
  <c r="X40" i="35"/>
  <c r="C12" i="35"/>
  <c r="C11" i="35"/>
  <c r="AN10" i="35"/>
  <c r="AL10" i="35"/>
  <c r="AK10" i="35"/>
  <c r="AJ10" i="35"/>
  <c r="AI10" i="35"/>
  <c r="C10" i="35"/>
  <c r="C9" i="35"/>
  <c r="E8" i="35"/>
  <c r="E13" i="35" s="1"/>
  <c r="D7" i="35"/>
  <c r="D6" i="35"/>
  <c r="V5" i="35"/>
  <c r="W3" i="35"/>
  <c r="F3" i="35"/>
  <c r="G3" i="35" s="1"/>
  <c r="H3" i="35" s="1"/>
  <c r="T44" i="32"/>
  <c r="H14" i="35"/>
  <c r="W14" i="35"/>
  <c r="G14" i="35"/>
  <c r="H80" i="35"/>
  <c r="S48" i="17"/>
  <c r="Z80" i="35"/>
  <c r="T48" i="17"/>
  <c r="F14" i="35"/>
  <c r="H48" i="35"/>
  <c r="X48" i="35"/>
  <c r="AF79" i="37" l="1"/>
  <c r="AF81" i="37" s="1"/>
  <c r="AF44" i="38"/>
  <c r="C44" i="38" s="1"/>
  <c r="C47" i="38" s="1"/>
  <c r="AA44" i="36"/>
  <c r="AA47" i="36" s="1"/>
  <c r="E15" i="35"/>
  <c r="F5" i="35"/>
  <c r="Y40" i="35"/>
  <c r="AA73" i="35"/>
  <c r="X3" i="35"/>
  <c r="F81" i="35"/>
  <c r="G75" i="35"/>
  <c r="S44" i="17"/>
  <c r="C77" i="34"/>
  <c r="F76" i="34"/>
  <c r="E76" i="34"/>
  <c r="E78" i="34" s="1"/>
  <c r="D76" i="34"/>
  <c r="U75" i="34"/>
  <c r="V74" i="34"/>
  <c r="W74" i="34" s="1"/>
  <c r="X74" i="34" s="1"/>
  <c r="F74" i="34"/>
  <c r="G74" i="34" s="1"/>
  <c r="AH71" i="34"/>
  <c r="V64" i="34"/>
  <c r="W64" i="34" s="1"/>
  <c r="X64" i="34" s="1"/>
  <c r="Y64" i="34" s="1"/>
  <c r="Z64" i="34" s="1"/>
  <c r="AA64" i="34" s="1"/>
  <c r="AB64" i="34" s="1"/>
  <c r="AC64" i="34" s="1"/>
  <c r="AD64" i="34" s="1"/>
  <c r="AE64" i="34" s="1"/>
  <c r="AF64" i="34" s="1"/>
  <c r="F64" i="34"/>
  <c r="G64" i="34" s="1"/>
  <c r="H64" i="34" s="1"/>
  <c r="W62" i="34"/>
  <c r="C62" i="34" s="1"/>
  <c r="D62" i="34"/>
  <c r="H61" i="34"/>
  <c r="G61" i="34"/>
  <c r="D61" i="34" s="1"/>
  <c r="F61" i="34"/>
  <c r="E61" i="34"/>
  <c r="AF60" i="34"/>
  <c r="AE60" i="34"/>
  <c r="AD60" i="34"/>
  <c r="AC60" i="34"/>
  <c r="AB60" i="34"/>
  <c r="AA60" i="34"/>
  <c r="Z60" i="34"/>
  <c r="Y60" i="34"/>
  <c r="X60" i="34"/>
  <c r="W60" i="34"/>
  <c r="V60" i="34"/>
  <c r="U60" i="34"/>
  <c r="D60" i="34"/>
  <c r="AF59" i="34"/>
  <c r="AE59" i="34"/>
  <c r="AD59" i="34"/>
  <c r="AC59" i="34"/>
  <c r="AB59" i="34"/>
  <c r="AA59" i="34"/>
  <c r="Z59" i="34"/>
  <c r="Y59" i="34"/>
  <c r="X59" i="34"/>
  <c r="W59" i="34"/>
  <c r="V59" i="34"/>
  <c r="U59" i="34"/>
  <c r="D59" i="34"/>
  <c r="AF58" i="34"/>
  <c r="AE58" i="34"/>
  <c r="AD58" i="34"/>
  <c r="AC58" i="34"/>
  <c r="AB58" i="34"/>
  <c r="AA58" i="34"/>
  <c r="Z58" i="34"/>
  <c r="Y58" i="34"/>
  <c r="X58" i="34"/>
  <c r="W58" i="34"/>
  <c r="V58" i="34"/>
  <c r="U58" i="34"/>
  <c r="D58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D57" i="34"/>
  <c r="AF56" i="34"/>
  <c r="AE56" i="34"/>
  <c r="AD56" i="34"/>
  <c r="AC56" i="34"/>
  <c r="AB56" i="34"/>
  <c r="AA56" i="34"/>
  <c r="Z56" i="34"/>
  <c r="Y56" i="34"/>
  <c r="X56" i="34"/>
  <c r="W56" i="34"/>
  <c r="V56" i="34"/>
  <c r="U56" i="34"/>
  <c r="D56" i="34"/>
  <c r="AF55" i="34"/>
  <c r="AE55" i="34"/>
  <c r="AD55" i="34"/>
  <c r="AC55" i="34"/>
  <c r="AB55" i="34"/>
  <c r="AA55" i="34"/>
  <c r="Z55" i="34"/>
  <c r="Y55" i="34"/>
  <c r="X55" i="34"/>
  <c r="W55" i="34"/>
  <c r="V55" i="34"/>
  <c r="U55" i="34"/>
  <c r="D55" i="34"/>
  <c r="AF54" i="34"/>
  <c r="AE54" i="34"/>
  <c r="AD54" i="34"/>
  <c r="AC54" i="34"/>
  <c r="AB54" i="34"/>
  <c r="AA54" i="34"/>
  <c r="Z54" i="34"/>
  <c r="Y54" i="34"/>
  <c r="X54" i="34"/>
  <c r="W54" i="34"/>
  <c r="V54" i="34"/>
  <c r="U54" i="34"/>
  <c r="D54" i="34"/>
  <c r="AF53" i="34"/>
  <c r="AE53" i="34"/>
  <c r="AD53" i="34"/>
  <c r="AC53" i="34"/>
  <c r="AB53" i="34"/>
  <c r="AA53" i="34"/>
  <c r="Z53" i="34"/>
  <c r="Y53" i="34"/>
  <c r="X53" i="34"/>
  <c r="W53" i="34"/>
  <c r="V53" i="34"/>
  <c r="U53" i="34"/>
  <c r="D53" i="34"/>
  <c r="W52" i="34"/>
  <c r="X52" i="34" s="1"/>
  <c r="Y52" i="34" s="1"/>
  <c r="Z52" i="34" s="1"/>
  <c r="AA52" i="34" s="1"/>
  <c r="AB52" i="34" s="1"/>
  <c r="AC52" i="34" s="1"/>
  <c r="AD52" i="34" s="1"/>
  <c r="AE52" i="34" s="1"/>
  <c r="AF52" i="34" s="1"/>
  <c r="V52" i="34"/>
  <c r="F52" i="34"/>
  <c r="G52" i="34" s="1"/>
  <c r="H52" i="34" s="1"/>
  <c r="Y48" i="35"/>
  <c r="E79" i="34"/>
  <c r="F79" i="34"/>
  <c r="W79" i="34"/>
  <c r="X79" i="34"/>
  <c r="X14" i="35"/>
  <c r="U48" i="34"/>
  <c r="E48" i="34"/>
  <c r="U79" i="34"/>
  <c r="G79" i="34"/>
  <c r="V79" i="34"/>
  <c r="AA80" i="35"/>
  <c r="S47" i="17" l="1"/>
  <c r="T42" i="17" s="1"/>
  <c r="C53" i="34"/>
  <c r="AF47" i="38"/>
  <c r="AF49" i="38" s="1"/>
  <c r="C57" i="34"/>
  <c r="AA49" i="36"/>
  <c r="AB42" i="36"/>
  <c r="F8" i="35"/>
  <c r="AB73" i="35"/>
  <c r="Y3" i="35"/>
  <c r="Z40" i="35"/>
  <c r="G77" i="35"/>
  <c r="G79" i="35" s="1"/>
  <c r="S49" i="17"/>
  <c r="AB76" i="34"/>
  <c r="AA76" i="34"/>
  <c r="AE61" i="34"/>
  <c r="C55" i="34"/>
  <c r="W76" i="34"/>
  <c r="C59" i="34"/>
  <c r="Z76" i="34"/>
  <c r="U61" i="34"/>
  <c r="Y61" i="34"/>
  <c r="AC61" i="34"/>
  <c r="C56" i="34"/>
  <c r="V76" i="34"/>
  <c r="X61" i="34"/>
  <c r="AB61" i="34"/>
  <c r="AF61" i="34"/>
  <c r="C58" i="34"/>
  <c r="X76" i="34"/>
  <c r="AD76" i="34"/>
  <c r="C54" i="34"/>
  <c r="C60" i="34"/>
  <c r="E80" i="34"/>
  <c r="F75" i="34"/>
  <c r="F78" i="34" s="1"/>
  <c r="H74" i="34"/>
  <c r="Y74" i="34"/>
  <c r="W61" i="34"/>
  <c r="AA61" i="34"/>
  <c r="U76" i="34"/>
  <c r="Y76" i="34"/>
  <c r="AC76" i="34"/>
  <c r="V61" i="34"/>
  <c r="Z61" i="34"/>
  <c r="AD61" i="34"/>
  <c r="AF46" i="34"/>
  <c r="C46" i="34" s="1"/>
  <c r="AE45" i="34"/>
  <c r="C45" i="34" s="1"/>
  <c r="AM44" i="34"/>
  <c r="AL44" i="34"/>
  <c r="AK44" i="34"/>
  <c r="AJ44" i="34"/>
  <c r="AI44" i="34"/>
  <c r="AH44" i="34"/>
  <c r="AK43" i="34"/>
  <c r="AJ43" i="34"/>
  <c r="AI43" i="34"/>
  <c r="F43" i="34"/>
  <c r="E43" i="34"/>
  <c r="E44" i="34" s="1"/>
  <c r="E47" i="34" s="1"/>
  <c r="D43" i="34"/>
  <c r="U42" i="34"/>
  <c r="V40" i="34"/>
  <c r="W40" i="34" s="1"/>
  <c r="H40" i="34"/>
  <c r="G40" i="34"/>
  <c r="F40" i="34"/>
  <c r="AH38" i="34"/>
  <c r="V30" i="34"/>
  <c r="W30" i="34" s="1"/>
  <c r="X30" i="34" s="1"/>
  <c r="Y30" i="34" s="1"/>
  <c r="Z30" i="34" s="1"/>
  <c r="AA30" i="34" s="1"/>
  <c r="AB30" i="34" s="1"/>
  <c r="AC30" i="34" s="1"/>
  <c r="AD30" i="34" s="1"/>
  <c r="AE30" i="34" s="1"/>
  <c r="AF30" i="34" s="1"/>
  <c r="F30" i="34"/>
  <c r="G30" i="34" s="1"/>
  <c r="H30" i="34" s="1"/>
  <c r="D28" i="34"/>
  <c r="C28" i="34"/>
  <c r="H27" i="34"/>
  <c r="G27" i="34"/>
  <c r="F27" i="34"/>
  <c r="E27" i="34"/>
  <c r="AF26" i="34"/>
  <c r="AE26" i="34"/>
  <c r="AD26" i="34"/>
  <c r="AC26" i="34"/>
  <c r="AB26" i="34"/>
  <c r="AA26" i="34"/>
  <c r="Z26" i="34"/>
  <c r="Y26" i="34"/>
  <c r="X26" i="34"/>
  <c r="W26" i="34"/>
  <c r="V26" i="34"/>
  <c r="U26" i="34"/>
  <c r="D26" i="34"/>
  <c r="D25" i="34"/>
  <c r="C25" i="34"/>
  <c r="AF24" i="34"/>
  <c r="AE24" i="34"/>
  <c r="AD24" i="34"/>
  <c r="AC24" i="34"/>
  <c r="AB24" i="34"/>
  <c r="AA24" i="34"/>
  <c r="Z24" i="34"/>
  <c r="Y24" i="34"/>
  <c r="X24" i="34"/>
  <c r="W24" i="34"/>
  <c r="V24" i="34"/>
  <c r="U24" i="34"/>
  <c r="D24" i="34"/>
  <c r="D23" i="34"/>
  <c r="C23" i="34"/>
  <c r="AF22" i="34"/>
  <c r="AE22" i="34"/>
  <c r="AD22" i="34"/>
  <c r="AC22" i="34"/>
  <c r="AB22" i="34"/>
  <c r="AA22" i="34"/>
  <c r="Z22" i="34"/>
  <c r="Y22" i="34"/>
  <c r="X22" i="34"/>
  <c r="W22" i="34"/>
  <c r="V22" i="34"/>
  <c r="U22" i="34"/>
  <c r="D22" i="34"/>
  <c r="D21" i="34"/>
  <c r="C21" i="34"/>
  <c r="AF20" i="34"/>
  <c r="AE20" i="34"/>
  <c r="AD20" i="34"/>
  <c r="AC20" i="34"/>
  <c r="AB20" i="34"/>
  <c r="AA20" i="34"/>
  <c r="Z20" i="34"/>
  <c r="Y20" i="34"/>
  <c r="X20" i="34"/>
  <c r="W20" i="34"/>
  <c r="V20" i="34"/>
  <c r="U20" i="34"/>
  <c r="D20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U43" i="34" s="1"/>
  <c r="D19" i="34"/>
  <c r="V18" i="34"/>
  <c r="W18" i="34" s="1"/>
  <c r="X18" i="34" s="1"/>
  <c r="Y18" i="34" s="1"/>
  <c r="Z18" i="34" s="1"/>
  <c r="AA18" i="34" s="1"/>
  <c r="AB18" i="34" s="1"/>
  <c r="AC18" i="34" s="1"/>
  <c r="AD18" i="34" s="1"/>
  <c r="AE18" i="34" s="1"/>
  <c r="AF18" i="34" s="1"/>
  <c r="F18" i="34"/>
  <c r="G18" i="34" s="1"/>
  <c r="H18" i="34" s="1"/>
  <c r="Y14" i="35"/>
  <c r="Z48" i="35"/>
  <c r="G48" i="34"/>
  <c r="Y79" i="34"/>
  <c r="U14" i="34"/>
  <c r="AB80" i="35"/>
  <c r="H48" i="34"/>
  <c r="F48" i="34"/>
  <c r="E14" i="34"/>
  <c r="H79" i="34"/>
  <c r="W48" i="34"/>
  <c r="V48" i="34"/>
  <c r="D27" i="34" l="1"/>
  <c r="C24" i="34"/>
  <c r="C22" i="34"/>
  <c r="AB44" i="36"/>
  <c r="AB47" i="36" s="1"/>
  <c r="G81" i="35"/>
  <c r="H75" i="35"/>
  <c r="Z3" i="35"/>
  <c r="AC73" i="35"/>
  <c r="AA40" i="35"/>
  <c r="F13" i="35"/>
  <c r="X43" i="34"/>
  <c r="AB43" i="34"/>
  <c r="AF27" i="34"/>
  <c r="C20" i="34"/>
  <c r="C26" i="34"/>
  <c r="V43" i="34"/>
  <c r="Z43" i="34"/>
  <c r="AD43" i="34"/>
  <c r="Y43" i="34"/>
  <c r="AC43" i="34"/>
  <c r="C61" i="34"/>
  <c r="W43" i="34"/>
  <c r="AA43" i="34"/>
  <c r="AE27" i="34"/>
  <c r="U44" i="34"/>
  <c r="U47" i="34" s="1"/>
  <c r="X40" i="34"/>
  <c r="E49" i="34"/>
  <c r="F42" i="34"/>
  <c r="F80" i="34"/>
  <c r="G75" i="34"/>
  <c r="G78" i="34" s="1"/>
  <c r="Z74" i="34"/>
  <c r="Y27" i="34"/>
  <c r="X27" i="34"/>
  <c r="AB27" i="34"/>
  <c r="C19" i="34"/>
  <c r="W27" i="34"/>
  <c r="AA27" i="34"/>
  <c r="U27" i="34"/>
  <c r="AC27" i="34"/>
  <c r="V27" i="34"/>
  <c r="Z27" i="34"/>
  <c r="AD27" i="34"/>
  <c r="C76" i="34"/>
  <c r="C78" i="34" s="1"/>
  <c r="U78" i="34"/>
  <c r="C12" i="34"/>
  <c r="C11" i="34"/>
  <c r="AM10" i="34"/>
  <c r="AK10" i="34"/>
  <c r="AJ10" i="34"/>
  <c r="AI10" i="34"/>
  <c r="AH10" i="34"/>
  <c r="C10" i="34"/>
  <c r="C9" i="34"/>
  <c r="E8" i="34"/>
  <c r="E13" i="34" s="1"/>
  <c r="D7" i="34"/>
  <c r="D6" i="34"/>
  <c r="U5" i="34"/>
  <c r="V3" i="34"/>
  <c r="G3" i="34"/>
  <c r="H3" i="34" s="1"/>
  <c r="F3" i="34"/>
  <c r="AC80" i="35"/>
  <c r="Z14" i="35"/>
  <c r="U80" i="33"/>
  <c r="Y91" i="33"/>
  <c r="H14" i="34"/>
  <c r="AA48" i="35"/>
  <c r="Z79" i="34"/>
  <c r="X48" i="34"/>
  <c r="E80" i="33"/>
  <c r="F14" i="34"/>
  <c r="V14" i="34"/>
  <c r="G14" i="34"/>
  <c r="C43" i="34" l="1"/>
  <c r="AB49" i="36"/>
  <c r="AC42" i="36"/>
  <c r="H77" i="35"/>
  <c r="D77" i="35" s="1"/>
  <c r="AD73" i="35"/>
  <c r="F15" i="35"/>
  <c r="G5" i="35"/>
  <c r="AB40" i="35"/>
  <c r="AA3" i="35"/>
  <c r="E15" i="34"/>
  <c r="F5" i="34"/>
  <c r="U49" i="34"/>
  <c r="V42" i="34"/>
  <c r="G80" i="34"/>
  <c r="H75" i="34"/>
  <c r="H78" i="34" s="1"/>
  <c r="H80" i="34" s="1"/>
  <c r="C27" i="34"/>
  <c r="AA74" i="34"/>
  <c r="F44" i="34"/>
  <c r="F47" i="34" s="1"/>
  <c r="U80" i="34"/>
  <c r="V75" i="34"/>
  <c r="V78" i="34" s="1"/>
  <c r="Y40" i="34"/>
  <c r="W3" i="34"/>
  <c r="C78" i="33"/>
  <c r="H76" i="33"/>
  <c r="D76" i="33" s="1"/>
  <c r="E76" i="33"/>
  <c r="AL75" i="33"/>
  <c r="U75" i="33"/>
  <c r="AH74" i="33"/>
  <c r="V73" i="33"/>
  <c r="W73" i="33" s="1"/>
  <c r="F73" i="33"/>
  <c r="W63" i="33"/>
  <c r="X63" i="33" s="1"/>
  <c r="Y63" i="33" s="1"/>
  <c r="Z63" i="33" s="1"/>
  <c r="AA63" i="33" s="1"/>
  <c r="AB63" i="33" s="1"/>
  <c r="AC63" i="33" s="1"/>
  <c r="AD63" i="33" s="1"/>
  <c r="AE63" i="33" s="1"/>
  <c r="AF63" i="33" s="1"/>
  <c r="V63" i="33"/>
  <c r="G63" i="33"/>
  <c r="H63" i="33" s="1"/>
  <c r="F63" i="33"/>
  <c r="W61" i="33"/>
  <c r="C61" i="33" s="1"/>
  <c r="D61" i="33"/>
  <c r="H60" i="33"/>
  <c r="G60" i="33"/>
  <c r="F60" i="33"/>
  <c r="D60" i="33" s="1"/>
  <c r="D59" i="33"/>
  <c r="C59" i="33"/>
  <c r="AG58" i="33"/>
  <c r="AF58" i="33"/>
  <c r="AE58" i="33"/>
  <c r="AD58" i="33"/>
  <c r="AC58" i="33"/>
  <c r="AB58" i="33"/>
  <c r="AA58" i="33"/>
  <c r="Z58" i="33"/>
  <c r="Y58" i="33"/>
  <c r="X58" i="33"/>
  <c r="W58" i="33"/>
  <c r="V58" i="33"/>
  <c r="U58" i="33"/>
  <c r="D58" i="33"/>
  <c r="D57" i="33"/>
  <c r="C57" i="33"/>
  <c r="D56" i="33"/>
  <c r="C56" i="33"/>
  <c r="D55" i="33"/>
  <c r="D54" i="33"/>
  <c r="D53" i="33"/>
  <c r="D52" i="33"/>
  <c r="V51" i="33"/>
  <c r="W51" i="33" s="1"/>
  <c r="X51" i="33" s="1"/>
  <c r="Y51" i="33" s="1"/>
  <c r="Z51" i="33" s="1"/>
  <c r="AA51" i="33" s="1"/>
  <c r="AB51" i="33" s="1"/>
  <c r="AC51" i="33" s="1"/>
  <c r="AD51" i="33" s="1"/>
  <c r="AE51" i="33" s="1"/>
  <c r="AF51" i="33" s="1"/>
  <c r="F51" i="33"/>
  <c r="G51" i="33" s="1"/>
  <c r="H51" i="33" s="1"/>
  <c r="AG49" i="33"/>
  <c r="E48" i="33"/>
  <c r="AA14" i="35"/>
  <c r="V80" i="33"/>
  <c r="U48" i="33"/>
  <c r="AD80" i="35"/>
  <c r="W80" i="33"/>
  <c r="AB48" i="35"/>
  <c r="Y48" i="34"/>
  <c r="F80" i="33"/>
  <c r="W14" i="34"/>
  <c r="AA79" i="34"/>
  <c r="AC44" i="36" l="1"/>
  <c r="AC47" i="36" s="1"/>
  <c r="AC40" i="35"/>
  <c r="H79" i="35"/>
  <c r="H81" i="35" s="1"/>
  <c r="AE73" i="35"/>
  <c r="G8" i="35"/>
  <c r="AB3" i="35"/>
  <c r="C58" i="33"/>
  <c r="F49" i="34"/>
  <c r="G42" i="34"/>
  <c r="V80" i="34"/>
  <c r="W75" i="34"/>
  <c r="W78" i="34" s="1"/>
  <c r="AB74" i="34"/>
  <c r="X3" i="34"/>
  <c r="V44" i="34"/>
  <c r="V47" i="34" s="1"/>
  <c r="Z40" i="34"/>
  <c r="F8" i="34"/>
  <c r="F13" i="34" s="1"/>
  <c r="X73" i="33"/>
  <c r="E77" i="33"/>
  <c r="E79" i="33" s="1"/>
  <c r="G73" i="33"/>
  <c r="AK47" i="33"/>
  <c r="AJ47" i="33"/>
  <c r="AI47" i="33"/>
  <c r="AH47" i="33"/>
  <c r="AK46" i="33"/>
  <c r="AJ46" i="33"/>
  <c r="AI46" i="33"/>
  <c r="AF46" i="33"/>
  <c r="T46" i="33"/>
  <c r="T47" i="33" s="1"/>
  <c r="C46" i="33"/>
  <c r="AE45" i="33"/>
  <c r="C45" i="33" s="1"/>
  <c r="H43" i="33"/>
  <c r="D43" i="33" s="1"/>
  <c r="E43" i="33"/>
  <c r="AH41" i="33"/>
  <c r="V40" i="33"/>
  <c r="W40" i="33" s="1"/>
  <c r="F40" i="33"/>
  <c r="W30" i="33"/>
  <c r="X30" i="33" s="1"/>
  <c r="Y30" i="33" s="1"/>
  <c r="Z30" i="33" s="1"/>
  <c r="AA30" i="33" s="1"/>
  <c r="AB30" i="33" s="1"/>
  <c r="AC30" i="33" s="1"/>
  <c r="AD30" i="33" s="1"/>
  <c r="AE30" i="33" s="1"/>
  <c r="AF30" i="33" s="1"/>
  <c r="V30" i="33"/>
  <c r="F30" i="33"/>
  <c r="G30" i="33" s="1"/>
  <c r="H30" i="33" s="1"/>
  <c r="D28" i="33"/>
  <c r="C28" i="33"/>
  <c r="H27" i="33"/>
  <c r="G27" i="33"/>
  <c r="D27" i="33" s="1"/>
  <c r="E27" i="33"/>
  <c r="D26" i="33"/>
  <c r="C26" i="33"/>
  <c r="D25" i="33"/>
  <c r="C25" i="33"/>
  <c r="AF24" i="33"/>
  <c r="AE24" i="33"/>
  <c r="AD24" i="33"/>
  <c r="AC24" i="33"/>
  <c r="AB24" i="33"/>
  <c r="AA24" i="33"/>
  <c r="Z24" i="33"/>
  <c r="Y24" i="33"/>
  <c r="X24" i="33"/>
  <c r="W24" i="33"/>
  <c r="V24" i="33"/>
  <c r="U24" i="33"/>
  <c r="D24" i="33"/>
  <c r="D23" i="33"/>
  <c r="C23" i="33"/>
  <c r="D22" i="33"/>
  <c r="C22" i="33"/>
  <c r="D21" i="33"/>
  <c r="C21" i="33"/>
  <c r="D20" i="33"/>
  <c r="D19" i="33"/>
  <c r="V18" i="33"/>
  <c r="W18" i="33" s="1"/>
  <c r="X18" i="33" s="1"/>
  <c r="Y18" i="33" s="1"/>
  <c r="Z18" i="33" s="1"/>
  <c r="AA18" i="33" s="1"/>
  <c r="AB18" i="33" s="1"/>
  <c r="AC18" i="33" s="1"/>
  <c r="AD18" i="33" s="1"/>
  <c r="AE18" i="33" s="1"/>
  <c r="AF18" i="33" s="1"/>
  <c r="H18" i="33"/>
  <c r="G18" i="33"/>
  <c r="F18" i="33"/>
  <c r="AC48" i="35"/>
  <c r="AE80" i="35"/>
  <c r="AB14" i="35"/>
  <c r="F48" i="33"/>
  <c r="X14" i="34"/>
  <c r="E14" i="33"/>
  <c r="U14" i="33"/>
  <c r="W48" i="33"/>
  <c r="Z48" i="34"/>
  <c r="G80" i="33"/>
  <c r="V48" i="33"/>
  <c r="AB79" i="34"/>
  <c r="X80" i="33"/>
  <c r="U42" i="33" l="1"/>
  <c r="T49" i="33"/>
  <c r="AC49" i="36"/>
  <c r="AD42" i="36"/>
  <c r="AC3" i="35"/>
  <c r="AD40" i="35"/>
  <c r="AF73" i="35"/>
  <c r="G13" i="35"/>
  <c r="C24" i="33"/>
  <c r="F15" i="34"/>
  <c r="G5" i="34"/>
  <c r="G44" i="34"/>
  <c r="V49" i="34"/>
  <c r="W42" i="34"/>
  <c r="AA40" i="34"/>
  <c r="AC74" i="34"/>
  <c r="Y3" i="34"/>
  <c r="W80" i="34"/>
  <c r="X75" i="34"/>
  <c r="X78" i="34" s="1"/>
  <c r="Y73" i="33"/>
  <c r="H73" i="33"/>
  <c r="E81" i="33"/>
  <c r="F75" i="33"/>
  <c r="G40" i="33"/>
  <c r="X40" i="33"/>
  <c r="E13" i="33"/>
  <c r="E15" i="33" s="1"/>
  <c r="C12" i="33"/>
  <c r="U11" i="33"/>
  <c r="C11" i="33" s="1"/>
  <c r="AM10" i="33"/>
  <c r="AK10" i="33"/>
  <c r="AJ10" i="33"/>
  <c r="AI10" i="33"/>
  <c r="AH10" i="33"/>
  <c r="C10" i="33"/>
  <c r="C9" i="33"/>
  <c r="E8" i="33"/>
  <c r="D7" i="33"/>
  <c r="D6" i="33"/>
  <c r="U5" i="33"/>
  <c r="F5" i="33"/>
  <c r="F8" i="33" s="1"/>
  <c r="V3" i="33"/>
  <c r="W3" i="33" s="1"/>
  <c r="X3" i="33" s="1"/>
  <c r="Y3" i="33" s="1"/>
  <c r="H3" i="33"/>
  <c r="G3" i="33"/>
  <c r="F3" i="33"/>
  <c r="AM56" i="32"/>
  <c r="AL56" i="32"/>
  <c r="AK56" i="32"/>
  <c r="AJ56" i="32"/>
  <c r="W61" i="17"/>
  <c r="D61" i="17" s="1"/>
  <c r="W65" i="16"/>
  <c r="D65" i="16" s="1"/>
  <c r="H14" i="33"/>
  <c r="AD48" i="35"/>
  <c r="F14" i="33"/>
  <c r="G48" i="33"/>
  <c r="AC14" i="35"/>
  <c r="G14" i="33"/>
  <c r="Y14" i="34"/>
  <c r="H80" i="33"/>
  <c r="X14" i="33"/>
  <c r="AA48" i="34"/>
  <c r="AC79" i="34"/>
  <c r="AF80" i="35"/>
  <c r="Y14" i="33"/>
  <c r="X48" i="33"/>
  <c r="Y80" i="33"/>
  <c r="W14" i="33"/>
  <c r="V14" i="33"/>
  <c r="AD44" i="36" l="1"/>
  <c r="AD47" i="36" s="1"/>
  <c r="AG73" i="35"/>
  <c r="AN77" i="35" s="1"/>
  <c r="G15" i="35"/>
  <c r="H5" i="35"/>
  <c r="AE40" i="35"/>
  <c r="AD3" i="35"/>
  <c r="AD74" i="34"/>
  <c r="X80" i="34"/>
  <c r="Y75" i="34"/>
  <c r="Y78" i="34" s="1"/>
  <c r="Z3" i="34"/>
  <c r="W44" i="34"/>
  <c r="W47" i="34" s="1"/>
  <c r="AB40" i="34"/>
  <c r="G8" i="34"/>
  <c r="G47" i="34"/>
  <c r="H40" i="33"/>
  <c r="Y40" i="33"/>
  <c r="F77" i="33"/>
  <c r="Z73" i="33"/>
  <c r="F13" i="33"/>
  <c r="Z3" i="33"/>
  <c r="C44" i="21"/>
  <c r="C18" i="21"/>
  <c r="C15" i="21"/>
  <c r="C12" i="21"/>
  <c r="C8" i="21"/>
  <c r="C6" i="21"/>
  <c r="C5" i="21"/>
  <c r="V40" i="32"/>
  <c r="X45" i="32"/>
  <c r="X42" i="32"/>
  <c r="W44" i="32"/>
  <c r="W47" i="32" s="1"/>
  <c r="T48" i="32"/>
  <c r="AE48" i="35"/>
  <c r="AD79" i="34"/>
  <c r="W48" i="32"/>
  <c r="AB48" i="34"/>
  <c r="Z14" i="34"/>
  <c r="V48" i="32"/>
  <c r="Z14" i="33"/>
  <c r="AD14" i="35"/>
  <c r="Z80" i="33"/>
  <c r="Y48" i="33"/>
  <c r="H48" i="33"/>
  <c r="AG80" i="35"/>
  <c r="AD49" i="36" l="1"/>
  <c r="AE42" i="36"/>
  <c r="AM78" i="35"/>
  <c r="H8" i="35"/>
  <c r="D8" i="35" s="1"/>
  <c r="AE3" i="35"/>
  <c r="AF40" i="35"/>
  <c r="AM79" i="35"/>
  <c r="AM80" i="35"/>
  <c r="AN80" i="35"/>
  <c r="AN79" i="35"/>
  <c r="G49" i="34"/>
  <c r="H42" i="34"/>
  <c r="AC40" i="34"/>
  <c r="AE74" i="34"/>
  <c r="W49" i="34"/>
  <c r="X42" i="34"/>
  <c r="Y80" i="34"/>
  <c r="Z75" i="34"/>
  <c r="Z78" i="34" s="1"/>
  <c r="AA3" i="34"/>
  <c r="G13" i="34"/>
  <c r="Z40" i="33"/>
  <c r="F15" i="33"/>
  <c r="G5" i="33"/>
  <c r="AA3" i="33"/>
  <c r="AA73" i="33"/>
  <c r="F79" i="33"/>
  <c r="W49" i="32"/>
  <c r="Y42" i="32"/>
  <c r="X12" i="32"/>
  <c r="X11" i="32"/>
  <c r="X10" i="32"/>
  <c r="X9" i="32"/>
  <c r="AE79" i="34"/>
  <c r="AC48" i="34"/>
  <c r="AA14" i="33"/>
  <c r="Z48" i="33"/>
  <c r="W14" i="32"/>
  <c r="AA80" i="33"/>
  <c r="AA14" i="34"/>
  <c r="AE14" i="35"/>
  <c r="AF48" i="35"/>
  <c r="AE44" i="36" l="1"/>
  <c r="AE47" i="36" s="1"/>
  <c r="H13" i="35"/>
  <c r="H15" i="35" s="1"/>
  <c r="AN83" i="35"/>
  <c r="AG40" i="35"/>
  <c r="AF3" i="35"/>
  <c r="AN44" i="35"/>
  <c r="Z80" i="34"/>
  <c r="AA75" i="34"/>
  <c r="AA78" i="34" s="1"/>
  <c r="X44" i="34"/>
  <c r="X47" i="34" s="1"/>
  <c r="AF74" i="34"/>
  <c r="AM72" i="34"/>
  <c r="AM73" i="34"/>
  <c r="H47" i="34"/>
  <c r="H49" i="34" s="1"/>
  <c r="H44" i="34"/>
  <c r="D44" i="34" s="1"/>
  <c r="AD40" i="34"/>
  <c r="G15" i="34"/>
  <c r="H5" i="34"/>
  <c r="AB3" i="34"/>
  <c r="G8" i="33"/>
  <c r="AA40" i="33"/>
  <c r="AB3" i="33"/>
  <c r="AB73" i="33"/>
  <c r="F81" i="33"/>
  <c r="G75" i="33"/>
  <c r="AG48" i="35"/>
  <c r="AA48" i="33"/>
  <c r="AA91" i="32"/>
  <c r="AD48" i="34"/>
  <c r="AF14" i="35"/>
  <c r="E80" i="32"/>
  <c r="AB80" i="33"/>
  <c r="U80" i="32"/>
  <c r="AB14" i="34"/>
  <c r="AF79" i="34"/>
  <c r="AB14" i="33"/>
  <c r="AE49" i="36" l="1"/>
  <c r="AF42" i="36"/>
  <c r="AN47" i="35"/>
  <c r="AN46" i="35"/>
  <c r="AM47" i="35"/>
  <c r="AM45" i="35"/>
  <c r="AG3" i="35"/>
  <c r="X49" i="34"/>
  <c r="Y42" i="34"/>
  <c r="AC3" i="34"/>
  <c r="AE40" i="34"/>
  <c r="AA80" i="34"/>
  <c r="AB75" i="34"/>
  <c r="AB78" i="34" s="1"/>
  <c r="H8" i="34"/>
  <c r="D8" i="34" s="1"/>
  <c r="AL73" i="34"/>
  <c r="AL72" i="34"/>
  <c r="AC73" i="33"/>
  <c r="AC3" i="33"/>
  <c r="G77" i="33"/>
  <c r="AB40" i="33"/>
  <c r="G13" i="33"/>
  <c r="C78" i="32"/>
  <c r="H76" i="32"/>
  <c r="D76" i="32" s="1"/>
  <c r="E76" i="32"/>
  <c r="E77" i="32" s="1"/>
  <c r="E79" i="32" s="1"/>
  <c r="AN75" i="32"/>
  <c r="U75" i="32"/>
  <c r="AJ74" i="32"/>
  <c r="V73" i="32"/>
  <c r="Y73" i="32" s="1"/>
  <c r="F73" i="32"/>
  <c r="V63" i="32"/>
  <c r="Y63" i="32" s="1"/>
  <c r="Z63" i="32" s="1"/>
  <c r="AA63" i="32" s="1"/>
  <c r="AB63" i="32" s="1"/>
  <c r="AC63" i="32" s="1"/>
  <c r="AD63" i="32" s="1"/>
  <c r="AE63" i="32" s="1"/>
  <c r="AF63" i="32" s="1"/>
  <c r="AG63" i="32" s="1"/>
  <c r="AH63" i="32" s="1"/>
  <c r="G63" i="32"/>
  <c r="H63" i="32" s="1"/>
  <c r="F63" i="32"/>
  <c r="D61" i="32"/>
  <c r="C61" i="32"/>
  <c r="H60" i="32"/>
  <c r="G60" i="32"/>
  <c r="F60" i="32"/>
  <c r="D59" i="32"/>
  <c r="C59" i="32"/>
  <c r="AI58" i="32"/>
  <c r="AH58" i="32"/>
  <c r="AG58" i="32"/>
  <c r="AF58" i="32"/>
  <c r="AE58" i="32"/>
  <c r="AD58" i="32"/>
  <c r="AC58" i="32"/>
  <c r="AB58" i="32"/>
  <c r="AA58" i="32"/>
  <c r="Z58" i="32"/>
  <c r="Y58" i="32"/>
  <c r="V58" i="32"/>
  <c r="U58" i="32"/>
  <c r="D58" i="32"/>
  <c r="D57" i="32"/>
  <c r="C57" i="32"/>
  <c r="D56" i="32"/>
  <c r="C56" i="32"/>
  <c r="D55" i="32"/>
  <c r="D54" i="32"/>
  <c r="D53" i="32"/>
  <c r="D52" i="32"/>
  <c r="V51" i="32"/>
  <c r="Y51" i="32" s="1"/>
  <c r="Z51" i="32" s="1"/>
  <c r="AA51" i="32" s="1"/>
  <c r="AB51" i="32" s="1"/>
  <c r="AC51" i="32" s="1"/>
  <c r="AD51" i="32" s="1"/>
  <c r="AE51" i="32" s="1"/>
  <c r="AF51" i="32" s="1"/>
  <c r="AG51" i="32" s="1"/>
  <c r="AH51" i="32" s="1"/>
  <c r="F51" i="32"/>
  <c r="G51" i="32" s="1"/>
  <c r="H51" i="32" s="1"/>
  <c r="AI49" i="32"/>
  <c r="V80" i="32"/>
  <c r="F80" i="32"/>
  <c r="AC14" i="34"/>
  <c r="AC14" i="33"/>
  <c r="AC80" i="33"/>
  <c r="AE48" i="34"/>
  <c r="Y80" i="32"/>
  <c r="AB48" i="33"/>
  <c r="AG14" i="35"/>
  <c r="D60" i="32" l="1"/>
  <c r="AN50" i="35"/>
  <c r="AF44" i="36"/>
  <c r="AF47" i="36" s="1"/>
  <c r="AN8" i="35"/>
  <c r="AN7" i="35"/>
  <c r="AB80" i="34"/>
  <c r="AC75" i="34"/>
  <c r="AC78" i="34" s="1"/>
  <c r="AF40" i="34"/>
  <c r="AM39" i="34" s="1"/>
  <c r="AM76" i="34"/>
  <c r="Y44" i="34"/>
  <c r="Y47" i="34" s="1"/>
  <c r="AD3" i="34"/>
  <c r="H13" i="34"/>
  <c r="H15" i="34" s="1"/>
  <c r="AC40" i="33"/>
  <c r="G15" i="33"/>
  <c r="H5" i="33"/>
  <c r="AD3" i="33"/>
  <c r="AD73" i="33"/>
  <c r="G79" i="33"/>
  <c r="C58" i="32"/>
  <c r="E81" i="32"/>
  <c r="F75" i="32"/>
  <c r="G73" i="32"/>
  <c r="Z73" i="32"/>
  <c r="AD14" i="33"/>
  <c r="AC48" i="33"/>
  <c r="E48" i="32"/>
  <c r="G80" i="32"/>
  <c r="U48" i="32"/>
  <c r="Z80" i="32"/>
  <c r="AD80" i="33"/>
  <c r="AF48" i="34"/>
  <c r="AD14" i="34"/>
  <c r="AN11" i="35" l="1"/>
  <c r="AF49" i="36"/>
  <c r="AG42" i="36"/>
  <c r="Y49" i="34"/>
  <c r="Z42" i="34"/>
  <c r="AL41" i="34"/>
  <c r="AM41" i="34"/>
  <c r="AM42" i="34"/>
  <c r="AL40" i="34"/>
  <c r="AC80" i="34"/>
  <c r="AD75" i="34"/>
  <c r="AD78" i="34" s="1"/>
  <c r="AE3" i="34"/>
  <c r="AL42" i="34"/>
  <c r="AE73" i="33"/>
  <c r="G81" i="33"/>
  <c r="H75" i="33"/>
  <c r="H8" i="33"/>
  <c r="D8" i="33" s="1"/>
  <c r="AD40" i="33"/>
  <c r="AE3" i="33"/>
  <c r="F77" i="32"/>
  <c r="H73" i="32"/>
  <c r="AA73" i="32"/>
  <c r="AM47" i="32"/>
  <c r="AL47" i="32"/>
  <c r="AK47" i="32"/>
  <c r="AJ47" i="32"/>
  <c r="AM46" i="32"/>
  <c r="AL46" i="32"/>
  <c r="AK46" i="32"/>
  <c r="AH46" i="32"/>
  <c r="C46" i="32" s="1"/>
  <c r="T46" i="32"/>
  <c r="T47" i="32" s="1"/>
  <c r="U42" i="32" s="1"/>
  <c r="AG45" i="32"/>
  <c r="C45" i="32" s="1"/>
  <c r="H43" i="32"/>
  <c r="D43" i="32" s="1"/>
  <c r="E43" i="32"/>
  <c r="AJ41" i="32"/>
  <c r="Y40" i="32"/>
  <c r="F40" i="32"/>
  <c r="V30" i="32"/>
  <c r="Y30" i="32" s="1"/>
  <c r="Z30" i="32" s="1"/>
  <c r="AA30" i="32" s="1"/>
  <c r="AB30" i="32" s="1"/>
  <c r="AC30" i="32" s="1"/>
  <c r="AD30" i="32" s="1"/>
  <c r="AE30" i="32" s="1"/>
  <c r="AF30" i="32" s="1"/>
  <c r="AG30" i="32" s="1"/>
  <c r="AH30" i="32" s="1"/>
  <c r="G30" i="32"/>
  <c r="H30" i="32" s="1"/>
  <c r="F30" i="32"/>
  <c r="D28" i="32"/>
  <c r="C28" i="32"/>
  <c r="H27" i="32"/>
  <c r="D27" i="32" s="1"/>
  <c r="G27" i="32"/>
  <c r="E27" i="32"/>
  <c r="D26" i="32"/>
  <c r="C26" i="32"/>
  <c r="D25" i="32"/>
  <c r="C25" i="32"/>
  <c r="AH24" i="32"/>
  <c r="AG24" i="32"/>
  <c r="AF24" i="32"/>
  <c r="AE24" i="32"/>
  <c r="AD24" i="32"/>
  <c r="AC24" i="32"/>
  <c r="AB24" i="32"/>
  <c r="AA24" i="32"/>
  <c r="Z24" i="32"/>
  <c r="Y24" i="32"/>
  <c r="V24" i="32"/>
  <c r="U24" i="32"/>
  <c r="D24" i="32"/>
  <c r="D23" i="32"/>
  <c r="C23" i="32"/>
  <c r="D22" i="32"/>
  <c r="C22" i="32"/>
  <c r="D21" i="32"/>
  <c r="C21" i="32"/>
  <c r="D20" i="32"/>
  <c r="D19" i="32"/>
  <c r="V18" i="32"/>
  <c r="Y18" i="32" s="1"/>
  <c r="Z18" i="32" s="1"/>
  <c r="AA18" i="32" s="1"/>
  <c r="AB18" i="32" s="1"/>
  <c r="AC18" i="32" s="1"/>
  <c r="AD18" i="32" s="1"/>
  <c r="AE18" i="32" s="1"/>
  <c r="AF18" i="32" s="1"/>
  <c r="AG18" i="32" s="1"/>
  <c r="AH18" i="32" s="1"/>
  <c r="F18" i="32"/>
  <c r="G18" i="32" s="1"/>
  <c r="H18" i="32" s="1"/>
  <c r="AE14" i="33"/>
  <c r="AD48" i="33"/>
  <c r="H80" i="32"/>
  <c r="AA80" i="32"/>
  <c r="AE14" i="34"/>
  <c r="Y48" i="32"/>
  <c r="AE80" i="33"/>
  <c r="F48" i="32"/>
  <c r="H13" i="33" l="1"/>
  <c r="H15" i="33" s="1"/>
  <c r="AG44" i="36"/>
  <c r="C44" i="36" s="1"/>
  <c r="C47" i="36" s="1"/>
  <c r="AD80" i="34"/>
  <c r="AE75" i="34"/>
  <c r="AE78" i="34" s="1"/>
  <c r="AM45" i="34"/>
  <c r="Z44" i="34"/>
  <c r="Z47" i="34" s="1"/>
  <c r="AF3" i="34"/>
  <c r="AF3" i="33"/>
  <c r="H79" i="33"/>
  <c r="H81" i="33" s="1"/>
  <c r="H77" i="33"/>
  <c r="D77" i="33" s="1"/>
  <c r="AF73" i="33"/>
  <c r="AE40" i="33"/>
  <c r="C24" i="32"/>
  <c r="AB73" i="32"/>
  <c r="F79" i="32"/>
  <c r="G40" i="32"/>
  <c r="Z40" i="32"/>
  <c r="G48" i="32"/>
  <c r="AF80" i="33"/>
  <c r="U14" i="32"/>
  <c r="AF14" i="34"/>
  <c r="E14" i="32"/>
  <c r="AB80" i="32"/>
  <c r="AF14" i="33"/>
  <c r="AE48" i="33"/>
  <c r="Z48" i="32"/>
  <c r="AG47" i="36" l="1"/>
  <c r="AG49" i="36" s="1"/>
  <c r="Z49" i="34"/>
  <c r="AA42" i="34"/>
  <c r="AE80" i="34"/>
  <c r="AF75" i="34"/>
  <c r="AF78" i="34" s="1"/>
  <c r="AF80" i="34" s="1"/>
  <c r="AM78" i="33"/>
  <c r="AL78" i="33"/>
  <c r="AF40" i="33"/>
  <c r="H40" i="32"/>
  <c r="AA40" i="32"/>
  <c r="F81" i="32"/>
  <c r="G75" i="32"/>
  <c r="AC73" i="32"/>
  <c r="C12" i="32"/>
  <c r="C11" i="32"/>
  <c r="AO10" i="32"/>
  <c r="AM10" i="32"/>
  <c r="AL10" i="32"/>
  <c r="AK10" i="32"/>
  <c r="AJ10" i="32"/>
  <c r="C10" i="32"/>
  <c r="C9" i="32"/>
  <c r="E8" i="32"/>
  <c r="D7" i="32"/>
  <c r="D6" i="32"/>
  <c r="U5" i="32"/>
  <c r="V3" i="32"/>
  <c r="F3" i="32"/>
  <c r="G3" i="32" s="1"/>
  <c r="H3" i="32" s="1"/>
  <c r="C12" i="17"/>
  <c r="AF48" i="33"/>
  <c r="V14" i="32"/>
  <c r="F14" i="32"/>
  <c r="H48" i="32"/>
  <c r="G14" i="32"/>
  <c r="H14" i="32"/>
  <c r="AA48" i="32"/>
  <c r="AC80" i="32"/>
  <c r="AA44" i="34" l="1"/>
  <c r="AA47" i="34" s="1"/>
  <c r="AD73" i="32"/>
  <c r="Y3" i="32"/>
  <c r="E13" i="32"/>
  <c r="G77" i="32"/>
  <c r="AB40" i="32"/>
  <c r="AB48" i="32"/>
  <c r="AD80" i="32"/>
  <c r="Y14" i="32"/>
  <c r="AA49" i="34" l="1"/>
  <c r="AB42" i="34"/>
  <c r="E15" i="32"/>
  <c r="F5" i="32"/>
  <c r="Z3" i="32"/>
  <c r="AE73" i="32"/>
  <c r="AC40" i="32"/>
  <c r="G79" i="32"/>
  <c r="AE80" i="32"/>
  <c r="Z14" i="32"/>
  <c r="AC48" i="32"/>
  <c r="AB44" i="34" l="1"/>
  <c r="AB47" i="34" s="1"/>
  <c r="F8" i="32"/>
  <c r="F13" i="32" s="1"/>
  <c r="AD40" i="32"/>
  <c r="G81" i="32"/>
  <c r="H75" i="32"/>
  <c r="AF73" i="32"/>
  <c r="AA3" i="32"/>
  <c r="AD48" i="32"/>
  <c r="AA14" i="32"/>
  <c r="AF80" i="32"/>
  <c r="AB49" i="34" l="1"/>
  <c r="AC42" i="34"/>
  <c r="F15" i="32"/>
  <c r="G5" i="32"/>
  <c r="AE40" i="32"/>
  <c r="AB3" i="32"/>
  <c r="H77" i="32"/>
  <c r="D77" i="32" s="1"/>
  <c r="AG73" i="32"/>
  <c r="AG80" i="32"/>
  <c r="AB14" i="32"/>
  <c r="AE48" i="32"/>
  <c r="AC44" i="34" l="1"/>
  <c r="AC47" i="34" s="1"/>
  <c r="H79" i="32"/>
  <c r="H81" i="32" s="1"/>
  <c r="AH73" i="32"/>
  <c r="G8" i="32"/>
  <c r="G13" i="32" s="1"/>
  <c r="AF40" i="32"/>
  <c r="AC3" i="32"/>
  <c r="AC14" i="32"/>
  <c r="AF48" i="32"/>
  <c r="AH80" i="32"/>
  <c r="AC49" i="34" l="1"/>
  <c r="AD42" i="34"/>
  <c r="G15" i="32"/>
  <c r="H5" i="32"/>
  <c r="AG40" i="32"/>
  <c r="AD3" i="32"/>
  <c r="AN78" i="32"/>
  <c r="AO78" i="32"/>
  <c r="AG48" i="32"/>
  <c r="AD14" i="32"/>
  <c r="AD44" i="34" l="1"/>
  <c r="AD47" i="34" s="1"/>
  <c r="H8" i="32"/>
  <c r="D8" i="32" s="1"/>
  <c r="AE3" i="32"/>
  <c r="AH40" i="32"/>
  <c r="AH48" i="32"/>
  <c r="AE14" i="32"/>
  <c r="AD49" i="34" l="1"/>
  <c r="AE42" i="34"/>
  <c r="H13" i="32"/>
  <c r="H15" i="32" s="1"/>
  <c r="AF3" i="32"/>
  <c r="AF14" i="32"/>
  <c r="AE44" i="34" l="1"/>
  <c r="AE47" i="34" s="1"/>
  <c r="AG3" i="32"/>
  <c r="AG14" i="32"/>
  <c r="AE49" i="34" l="1"/>
  <c r="AF42" i="34"/>
  <c r="AH3" i="32"/>
  <c r="AH14" i="32"/>
  <c r="AF44" i="34" l="1"/>
  <c r="C44" i="34" s="1"/>
  <c r="C47" i="34" s="1"/>
  <c r="AF47" i="34" l="1"/>
  <c r="AF49" i="34" s="1"/>
  <c r="AL75" i="17" l="1"/>
  <c r="C29" i="16"/>
  <c r="V50" i="16"/>
  <c r="V83" i="16"/>
  <c r="C54" i="19" l="1"/>
  <c r="C4" i="19"/>
  <c r="C53" i="19"/>
  <c r="C51" i="19"/>
  <c r="C50" i="19"/>
  <c r="C49" i="19"/>
  <c r="C48" i="19"/>
  <c r="C44" i="19"/>
  <c r="C42" i="19"/>
  <c r="C41" i="19"/>
  <c r="C40" i="19"/>
  <c r="C39" i="19"/>
  <c r="C37" i="19"/>
  <c r="C15" i="19"/>
  <c r="C12" i="19"/>
  <c r="C18" i="19"/>
  <c r="C19" i="19"/>
  <c r="C8" i="19"/>
  <c r="C6" i="19"/>
  <c r="C15" i="15"/>
  <c r="D15" i="15" s="1"/>
  <c r="C14" i="15"/>
  <c r="D14" i="15" s="1"/>
  <c r="C9" i="15"/>
  <c r="D9" i="15" s="1"/>
  <c r="C8" i="15"/>
  <c r="D8" i="15" s="1"/>
  <c r="V14" i="16"/>
  <c r="T47" i="17" l="1"/>
  <c r="T49" i="17" l="1"/>
  <c r="U42" i="17"/>
  <c r="U58" i="17"/>
  <c r="U48" i="17"/>
  <c r="C18" i="5" l="1"/>
  <c r="C15" i="5"/>
  <c r="C6" i="5"/>
  <c r="C12" i="5"/>
  <c r="C9" i="5"/>
  <c r="C5" i="5"/>
  <c r="C33" i="5" s="1"/>
  <c r="C52" i="5" s="1"/>
  <c r="C78" i="17" l="1"/>
  <c r="C61" i="17"/>
  <c r="C56" i="17"/>
  <c r="C57" i="17"/>
  <c r="U24" i="17"/>
  <c r="C28" i="17"/>
  <c r="C21" i="17"/>
  <c r="C22" i="17"/>
  <c r="C23" i="17"/>
  <c r="C9" i="17"/>
  <c r="C10" i="17"/>
  <c r="C11" i="17"/>
  <c r="C65" i="16"/>
  <c r="C9" i="16"/>
  <c r="C10" i="16"/>
  <c r="C11" i="16"/>
  <c r="C12" i="16"/>
  <c r="C22" i="16"/>
  <c r="C24" i="16"/>
  <c r="C26" i="16"/>
  <c r="V73" i="17" l="1"/>
  <c r="W73" i="17" s="1"/>
  <c r="X73" i="17" s="1"/>
  <c r="V63" i="17"/>
  <c r="W63" i="17" s="1"/>
  <c r="X63" i="17" s="1"/>
  <c r="Y63" i="17" s="1"/>
  <c r="Z63" i="17" s="1"/>
  <c r="AA63" i="17" s="1"/>
  <c r="AB63" i="17" s="1"/>
  <c r="AC63" i="17" s="1"/>
  <c r="AD63" i="17" s="1"/>
  <c r="AE63" i="17" s="1"/>
  <c r="AF63" i="17" s="1"/>
  <c r="AF58" i="17"/>
  <c r="AE58" i="17"/>
  <c r="AD58" i="17"/>
  <c r="AC58" i="17"/>
  <c r="AB58" i="17"/>
  <c r="AA58" i="17"/>
  <c r="Z58" i="17"/>
  <c r="Y58" i="17"/>
  <c r="X58" i="17"/>
  <c r="W58" i="17"/>
  <c r="V58" i="17"/>
  <c r="D58" i="17" s="1"/>
  <c r="V51" i="17"/>
  <c r="W51" i="17" s="1"/>
  <c r="X51" i="17" s="1"/>
  <c r="Y51" i="17" s="1"/>
  <c r="Z51" i="17" s="1"/>
  <c r="AA51" i="17" s="1"/>
  <c r="AB51" i="17" s="1"/>
  <c r="AC51" i="17" s="1"/>
  <c r="AD51" i="17" s="1"/>
  <c r="AE51" i="17" s="1"/>
  <c r="AF51" i="17" s="1"/>
  <c r="W80" i="17"/>
  <c r="X80" i="17"/>
  <c r="V80" i="17"/>
  <c r="C58" i="17" l="1"/>
  <c r="Y73" i="17"/>
  <c r="AF46" i="17"/>
  <c r="C46" i="17" s="1"/>
  <c r="C45" i="17"/>
  <c r="V40" i="17"/>
  <c r="V30" i="17"/>
  <c r="W30" i="17" s="1"/>
  <c r="X30" i="17" s="1"/>
  <c r="Y30" i="17" s="1"/>
  <c r="Z30" i="17" s="1"/>
  <c r="AA30" i="17" s="1"/>
  <c r="AB30" i="17" s="1"/>
  <c r="AC30" i="17" s="1"/>
  <c r="AD30" i="17" s="1"/>
  <c r="AE30" i="17" s="1"/>
  <c r="AF30" i="17" s="1"/>
  <c r="AF24" i="17"/>
  <c r="AE24" i="17"/>
  <c r="AD24" i="17"/>
  <c r="AC24" i="17"/>
  <c r="AB24" i="17"/>
  <c r="AA24" i="17"/>
  <c r="Z24" i="17"/>
  <c r="Y24" i="17"/>
  <c r="X24" i="17"/>
  <c r="W24" i="17"/>
  <c r="V24" i="17"/>
  <c r="V18" i="17"/>
  <c r="W18" i="17" s="1"/>
  <c r="X18" i="17" s="1"/>
  <c r="Y18" i="17" s="1"/>
  <c r="Z18" i="17" s="1"/>
  <c r="AA18" i="17" s="1"/>
  <c r="AB18" i="17" s="1"/>
  <c r="AC18" i="17" s="1"/>
  <c r="AD18" i="17" s="1"/>
  <c r="AE18" i="17" s="1"/>
  <c r="AF18" i="17" s="1"/>
  <c r="Y80" i="17"/>
  <c r="V48" i="17"/>
  <c r="U14" i="17"/>
  <c r="W40" i="17" l="1"/>
  <c r="C24" i="17"/>
  <c r="Z73" i="17"/>
  <c r="X40" i="17"/>
  <c r="V3" i="17"/>
  <c r="Z80" i="17"/>
  <c r="V14" i="17"/>
  <c r="X48" i="17"/>
  <c r="W48" i="17"/>
  <c r="W3" i="17" l="1"/>
  <c r="AA73" i="17"/>
  <c r="Y40" i="17"/>
  <c r="V78" i="16"/>
  <c r="V67" i="16"/>
  <c r="W67" i="16" s="1"/>
  <c r="X67" i="16" s="1"/>
  <c r="Y67" i="16" s="1"/>
  <c r="Z67" i="16" s="1"/>
  <c r="AA67" i="16" s="1"/>
  <c r="AB67" i="16" s="1"/>
  <c r="AC67" i="16" s="1"/>
  <c r="AD67" i="16" s="1"/>
  <c r="AE67" i="16" s="1"/>
  <c r="AF67" i="16" s="1"/>
  <c r="AF63" i="16"/>
  <c r="AE63" i="16"/>
  <c r="AD63" i="16"/>
  <c r="AC63" i="16"/>
  <c r="AB63" i="16"/>
  <c r="AA63" i="16"/>
  <c r="Z63" i="16"/>
  <c r="Y63" i="16"/>
  <c r="X63" i="16"/>
  <c r="W63" i="16"/>
  <c r="V63" i="16"/>
  <c r="D63" i="16" s="1"/>
  <c r="AF62" i="16"/>
  <c r="AE62" i="16"/>
  <c r="AD62" i="16"/>
  <c r="AC62" i="16"/>
  <c r="AB62" i="16"/>
  <c r="AA62" i="16"/>
  <c r="Z62" i="16"/>
  <c r="Y62" i="16"/>
  <c r="X62" i="16"/>
  <c r="W62" i="16"/>
  <c r="V62" i="16"/>
  <c r="AF61" i="16"/>
  <c r="AE61" i="16"/>
  <c r="AD61" i="16"/>
  <c r="AC61" i="16"/>
  <c r="AB61" i="16"/>
  <c r="AA61" i="16"/>
  <c r="Z61" i="16"/>
  <c r="Y61" i="16"/>
  <c r="X61" i="16"/>
  <c r="W61" i="16"/>
  <c r="V61" i="16"/>
  <c r="AF60" i="16"/>
  <c r="AE60" i="16"/>
  <c r="AD60" i="16"/>
  <c r="AC60" i="16"/>
  <c r="AB60" i="16"/>
  <c r="AA60" i="16"/>
  <c r="Z60" i="16"/>
  <c r="Y60" i="16"/>
  <c r="X60" i="16"/>
  <c r="W60" i="16"/>
  <c r="V60" i="16"/>
  <c r="D60" i="16" s="1"/>
  <c r="AF59" i="16"/>
  <c r="AE59" i="16"/>
  <c r="AD59" i="16"/>
  <c r="AC59" i="16"/>
  <c r="AB59" i="16"/>
  <c r="AA59" i="16"/>
  <c r="Z59" i="16"/>
  <c r="Y59" i="16"/>
  <c r="X59" i="16"/>
  <c r="W59" i="16"/>
  <c r="V59" i="16"/>
  <c r="AF58" i="16"/>
  <c r="AE58" i="16"/>
  <c r="AD58" i="16"/>
  <c r="AC58" i="16"/>
  <c r="AB58" i="16"/>
  <c r="AA58" i="16"/>
  <c r="Z58" i="16"/>
  <c r="Y58" i="16"/>
  <c r="X58" i="16"/>
  <c r="W58" i="16"/>
  <c r="V58" i="16"/>
  <c r="AF57" i="16"/>
  <c r="AE57" i="16"/>
  <c r="AD57" i="16"/>
  <c r="AC57" i="16"/>
  <c r="AB57" i="16"/>
  <c r="AA57" i="16"/>
  <c r="Z57" i="16"/>
  <c r="Y57" i="16"/>
  <c r="X57" i="16"/>
  <c r="W57" i="16"/>
  <c r="V57" i="16"/>
  <c r="AF55" i="16"/>
  <c r="AE55" i="16"/>
  <c r="AD55" i="16"/>
  <c r="AC55" i="16"/>
  <c r="AB55" i="16"/>
  <c r="AA55" i="16"/>
  <c r="Z55" i="16"/>
  <c r="Y55" i="16"/>
  <c r="X55" i="16"/>
  <c r="W55" i="16"/>
  <c r="V55" i="16"/>
  <c r="D55" i="16" s="1"/>
  <c r="W54" i="16"/>
  <c r="X54" i="16" s="1"/>
  <c r="Y54" i="16" s="1"/>
  <c r="Z54" i="16" s="1"/>
  <c r="AA54" i="16" s="1"/>
  <c r="AB54" i="16" s="1"/>
  <c r="AC54" i="16" s="1"/>
  <c r="AD54" i="16" s="1"/>
  <c r="AE54" i="16" s="1"/>
  <c r="AF54" i="16" s="1"/>
  <c r="V54" i="16"/>
  <c r="Y48" i="17"/>
  <c r="W14" i="17"/>
  <c r="AA80" i="17"/>
  <c r="D59" i="16" l="1"/>
  <c r="D58" i="16"/>
  <c r="D62" i="16"/>
  <c r="D57" i="16"/>
  <c r="D61" i="16"/>
  <c r="X3" i="17"/>
  <c r="AC64" i="16"/>
  <c r="Y64" i="16"/>
  <c r="Z80" i="16"/>
  <c r="X64" i="16"/>
  <c r="AB64" i="16"/>
  <c r="AF64" i="16"/>
  <c r="C61" i="16"/>
  <c r="C58" i="16"/>
  <c r="C62" i="16"/>
  <c r="C59" i="16"/>
  <c r="C63" i="16"/>
  <c r="C55" i="16"/>
  <c r="C60" i="16"/>
  <c r="V80" i="16"/>
  <c r="C57" i="16"/>
  <c r="AE64" i="16"/>
  <c r="AD64" i="16"/>
  <c r="AD80" i="16"/>
  <c r="AB80" i="16"/>
  <c r="AA80" i="16"/>
  <c r="AA64" i="16"/>
  <c r="Z64" i="16"/>
  <c r="X80" i="16"/>
  <c r="W80" i="16"/>
  <c r="W64" i="16"/>
  <c r="V64" i="16"/>
  <c r="D64" i="16" s="1"/>
  <c r="Z40" i="17"/>
  <c r="Y3" i="17"/>
  <c r="AB73" i="17"/>
  <c r="Y80" i="16"/>
  <c r="AC80" i="16"/>
  <c r="W78" i="16"/>
  <c r="AF48" i="16"/>
  <c r="C48" i="16" s="1"/>
  <c r="C47" i="16"/>
  <c r="V42" i="16"/>
  <c r="W42" i="16" s="1"/>
  <c r="V31" i="16"/>
  <c r="W31" i="16" s="1"/>
  <c r="X31" i="16" s="1"/>
  <c r="Y31" i="16" s="1"/>
  <c r="Z31" i="16" s="1"/>
  <c r="AA31" i="16" s="1"/>
  <c r="AB31" i="16" s="1"/>
  <c r="AC31" i="16" s="1"/>
  <c r="AD31" i="16" s="1"/>
  <c r="AE31" i="16" s="1"/>
  <c r="AF31" i="16" s="1"/>
  <c r="AF27" i="16"/>
  <c r="AE27" i="16"/>
  <c r="AD27" i="16"/>
  <c r="AC27" i="16"/>
  <c r="AB27" i="16"/>
  <c r="AA27" i="16"/>
  <c r="Z27" i="16"/>
  <c r="Y27" i="16"/>
  <c r="X27" i="16"/>
  <c r="W27" i="16"/>
  <c r="V27" i="16"/>
  <c r="D27" i="16" s="1"/>
  <c r="AF25" i="16"/>
  <c r="AE25" i="16"/>
  <c r="AD25" i="16"/>
  <c r="AC25" i="16"/>
  <c r="AB25" i="16"/>
  <c r="AA25" i="16"/>
  <c r="Z25" i="16"/>
  <c r="Y25" i="16"/>
  <c r="X25" i="16"/>
  <c r="W25" i="16"/>
  <c r="V25" i="16"/>
  <c r="AF23" i="16"/>
  <c r="AE23" i="16"/>
  <c r="AD23" i="16"/>
  <c r="AC23" i="16"/>
  <c r="AB23" i="16"/>
  <c r="AA23" i="16"/>
  <c r="Z23" i="16"/>
  <c r="Y23" i="16"/>
  <c r="X23" i="16"/>
  <c r="W23" i="16"/>
  <c r="V23" i="16"/>
  <c r="AF21" i="16"/>
  <c r="AE21" i="16"/>
  <c r="C21" i="16" s="1"/>
  <c r="AD21" i="16"/>
  <c r="AC21" i="16"/>
  <c r="AB21" i="16"/>
  <c r="AA21" i="16"/>
  <c r="Z21" i="16"/>
  <c r="Y21" i="16"/>
  <c r="X21" i="16"/>
  <c r="W21" i="16"/>
  <c r="V21" i="16"/>
  <c r="AF19" i="16"/>
  <c r="AE19" i="16"/>
  <c r="AD19" i="16"/>
  <c r="AC19" i="16"/>
  <c r="AB19" i="16"/>
  <c r="AA19" i="16"/>
  <c r="Z19" i="16"/>
  <c r="Y19" i="16"/>
  <c r="X19" i="16"/>
  <c r="W19" i="16"/>
  <c r="V19" i="16"/>
  <c r="D19" i="16" s="1"/>
  <c r="V18" i="16"/>
  <c r="W18" i="16" s="1"/>
  <c r="X18" i="16" s="1"/>
  <c r="Y18" i="16" s="1"/>
  <c r="Z18" i="16" s="1"/>
  <c r="AA18" i="16" s="1"/>
  <c r="AB18" i="16" s="1"/>
  <c r="AC18" i="16" s="1"/>
  <c r="AD18" i="16" s="1"/>
  <c r="AE18" i="16" s="1"/>
  <c r="AF18" i="16" s="1"/>
  <c r="Y14" i="17"/>
  <c r="W50" i="16"/>
  <c r="X14" i="17"/>
  <c r="W83" i="16"/>
  <c r="AB80" i="17"/>
  <c r="Z48" i="17"/>
  <c r="D80" i="16" l="1"/>
  <c r="D25" i="16"/>
  <c r="D23" i="16"/>
  <c r="D21" i="16"/>
  <c r="C64" i="16"/>
  <c r="AF28" i="16"/>
  <c r="C23" i="16"/>
  <c r="V28" i="16"/>
  <c r="C19" i="16"/>
  <c r="C25" i="16"/>
  <c r="Z28" i="16"/>
  <c r="C27" i="16"/>
  <c r="W45" i="16"/>
  <c r="AA45" i="16"/>
  <c r="C80" i="16"/>
  <c r="AE28" i="16"/>
  <c r="AD28" i="16"/>
  <c r="AC28" i="16"/>
  <c r="AB45" i="16"/>
  <c r="AA28" i="16"/>
  <c r="Z45" i="16"/>
  <c r="Y45" i="16"/>
  <c r="X45" i="16"/>
  <c r="W28" i="16"/>
  <c r="V45" i="16"/>
  <c r="AA40" i="17"/>
  <c r="Z3" i="17"/>
  <c r="AC73" i="17"/>
  <c r="X78" i="16"/>
  <c r="Y28" i="16"/>
  <c r="X28" i="16"/>
  <c r="AB28" i="16"/>
  <c r="AD45" i="16"/>
  <c r="AC45" i="16"/>
  <c r="X42" i="16"/>
  <c r="V3" i="16"/>
  <c r="W3" i="16" s="1"/>
  <c r="AM46" i="16"/>
  <c r="W14" i="16"/>
  <c r="AA48" i="17"/>
  <c r="X50" i="16"/>
  <c r="Z14" i="17"/>
  <c r="AC80" i="17"/>
  <c r="D45" i="16" l="1"/>
  <c r="D28" i="16"/>
  <c r="C28" i="16"/>
  <c r="C45" i="16"/>
  <c r="AB40" i="17"/>
  <c r="AA3" i="17"/>
  <c r="AD73" i="17"/>
  <c r="Y78" i="16"/>
  <c r="Y42" i="16"/>
  <c r="X3" i="16"/>
  <c r="AB48" i="17"/>
  <c r="Y83" i="16"/>
  <c r="AA14" i="17"/>
  <c r="X14" i="16"/>
  <c r="Y50" i="16"/>
  <c r="AD80" i="17"/>
  <c r="AC40" i="17" l="1"/>
  <c r="AB3" i="17"/>
  <c r="AE73" i="17"/>
  <c r="Z42" i="16"/>
  <c r="Z78" i="16"/>
  <c r="Y3" i="16"/>
  <c r="AE80" i="17"/>
  <c r="Z50" i="16"/>
  <c r="Z83" i="16"/>
  <c r="AC48" i="17"/>
  <c r="AB14" i="17"/>
  <c r="Y14" i="16"/>
  <c r="AD40" i="17" l="1"/>
  <c r="AC3" i="17"/>
  <c r="AF73" i="17"/>
  <c r="AA42" i="16"/>
  <c r="AA78" i="16"/>
  <c r="Z3" i="16"/>
  <c r="AH10" i="17"/>
  <c r="AL46" i="16"/>
  <c r="AJ45" i="16"/>
  <c r="AK45" i="16"/>
  <c r="AJ46" i="16"/>
  <c r="AK46" i="16"/>
  <c r="AI46" i="16"/>
  <c r="AI45" i="16"/>
  <c r="AH46" i="16"/>
  <c r="AK47" i="17"/>
  <c r="AJ47" i="17"/>
  <c r="AI47" i="17"/>
  <c r="AK46" i="17"/>
  <c r="AJ46" i="17"/>
  <c r="AI46" i="17"/>
  <c r="AH47" i="17"/>
  <c r="AA50" i="16"/>
  <c r="Z14" i="16"/>
  <c r="AD48" i="17"/>
  <c r="AA83" i="16"/>
  <c r="AC14" i="17"/>
  <c r="AF80" i="17"/>
  <c r="AE40" i="17" l="1"/>
  <c r="AD3" i="17"/>
  <c r="AB42" i="16"/>
  <c r="AB78" i="16"/>
  <c r="AA3" i="16"/>
  <c r="AM10" i="17"/>
  <c r="AK10" i="17"/>
  <c r="AJ10" i="17"/>
  <c r="AI10" i="17"/>
  <c r="AK10" i="16"/>
  <c r="AJ10" i="16"/>
  <c r="AI10" i="16"/>
  <c r="AH10" i="16"/>
  <c r="AA14" i="16"/>
  <c r="AD14" i="17"/>
  <c r="AB83" i="16"/>
  <c r="AB50" i="16"/>
  <c r="AE48" i="17"/>
  <c r="AF40" i="17" l="1"/>
  <c r="AE3" i="17"/>
  <c r="AC42" i="16"/>
  <c r="AC78" i="16"/>
  <c r="AB3" i="16"/>
  <c r="C12" i="31"/>
  <c r="B12" i="31"/>
  <c r="C5" i="31"/>
  <c r="B5" i="31"/>
  <c r="AC83" i="16"/>
  <c r="AB14" i="16"/>
  <c r="AC50" i="16"/>
  <c r="AF48" i="17"/>
  <c r="AE14" i="17"/>
  <c r="AF3" i="17" l="1"/>
  <c r="AD42" i="16"/>
  <c r="AD78" i="16"/>
  <c r="AC3" i="16"/>
  <c r="AG49" i="17"/>
  <c r="AC14" i="16"/>
  <c r="AD50" i="16"/>
  <c r="AD83" i="16"/>
  <c r="AF14" i="17"/>
  <c r="AE42" i="16" l="1"/>
  <c r="AE78" i="16"/>
  <c r="AD3" i="16"/>
  <c r="AE50" i="16"/>
  <c r="AE83" i="16"/>
  <c r="AD14" i="16"/>
  <c r="AF42" i="16" l="1"/>
  <c r="AF78" i="16"/>
  <c r="AE3" i="16"/>
  <c r="AE14" i="16"/>
  <c r="AF50" i="16"/>
  <c r="AF83" i="16"/>
  <c r="AF3" i="16" l="1"/>
  <c r="C33" i="27"/>
  <c r="C52" i="27" s="1"/>
  <c r="AF14" i="16"/>
  <c r="B12" i="30" l="1"/>
  <c r="B9" i="30"/>
  <c r="C162" i="6"/>
  <c r="E50" i="16"/>
  <c r="C129" i="3"/>
  <c r="E14" i="16"/>
  <c r="E14" i="17"/>
  <c r="E83" i="16"/>
  <c r="E48" i="17"/>
  <c r="B13" i="30" l="1"/>
  <c r="B11" i="30"/>
  <c r="B10" i="30"/>
  <c r="B8" i="30"/>
  <c r="B16" i="30"/>
  <c r="B7" i="30"/>
  <c r="C4" i="30"/>
  <c r="C16" i="30" s="1"/>
  <c r="D4" i="30" l="1"/>
  <c r="C7" i="30"/>
  <c r="D16" i="30" l="1"/>
  <c r="D7" i="30"/>
  <c r="E4" i="30"/>
  <c r="E16" i="30" s="1"/>
  <c r="F4" i="30" l="1"/>
  <c r="F16" i="30" s="1"/>
  <c r="E7" i="30"/>
  <c r="F7" i="30" l="1"/>
  <c r="G4" i="30"/>
  <c r="G16" i="30" l="1"/>
  <c r="G7" i="30"/>
  <c r="H4" i="30"/>
  <c r="H16" i="30" l="1"/>
  <c r="H7" i="30"/>
  <c r="I4" i="30"/>
  <c r="I16" i="30" l="1"/>
  <c r="I7" i="30"/>
  <c r="J4" i="30"/>
  <c r="J16" i="30" l="1"/>
  <c r="J7" i="30"/>
  <c r="K4" i="30"/>
  <c r="K16" i="30" l="1"/>
  <c r="K7" i="30"/>
  <c r="L4" i="30"/>
  <c r="L16" i="30" l="1"/>
  <c r="L7" i="30"/>
  <c r="M4" i="30"/>
  <c r="M16" i="30" l="1"/>
  <c r="M7" i="30"/>
  <c r="N4" i="30"/>
  <c r="N7" i="30" s="1"/>
  <c r="N16" i="30" l="1"/>
  <c r="G31" i="21" l="1"/>
  <c r="C1" i="19" l="1"/>
  <c r="C1" i="21" s="1"/>
  <c r="AH74" i="17"/>
  <c r="AM78" i="17" s="1"/>
  <c r="AH41" i="17"/>
  <c r="AH75" i="16"/>
  <c r="AH40" i="16"/>
  <c r="C43" i="29"/>
  <c r="C33" i="29"/>
  <c r="C52" i="29" s="1"/>
  <c r="C27" i="29"/>
  <c r="C22" i="29"/>
  <c r="C20" i="29"/>
  <c r="C17" i="29"/>
  <c r="C14" i="29"/>
  <c r="C11" i="29"/>
  <c r="C7" i="29"/>
  <c r="C43" i="28"/>
  <c r="C27" i="28"/>
  <c r="C22" i="28"/>
  <c r="C20" i="28"/>
  <c r="C17" i="28"/>
  <c r="C14" i="28"/>
  <c r="C11" i="28"/>
  <c r="C7" i="28"/>
  <c r="C43" i="27"/>
  <c r="C27" i="27"/>
  <c r="C22" i="27"/>
  <c r="C20" i="27"/>
  <c r="C17" i="27"/>
  <c r="C14" i="27"/>
  <c r="C11" i="27"/>
  <c r="C7" i="27"/>
  <c r="C43" i="26"/>
  <c r="C33" i="26"/>
  <c r="C52" i="26" s="1"/>
  <c r="C27" i="26"/>
  <c r="C22" i="26"/>
  <c r="C20" i="26"/>
  <c r="C17" i="26"/>
  <c r="C14" i="26"/>
  <c r="C11" i="26"/>
  <c r="C7" i="26"/>
  <c r="C43" i="25"/>
  <c r="C33" i="25"/>
  <c r="C52" i="25" s="1"/>
  <c r="C27" i="25"/>
  <c r="C22" i="25"/>
  <c r="C20" i="25"/>
  <c r="C17" i="25"/>
  <c r="C14" i="25"/>
  <c r="C11" i="25"/>
  <c r="C7" i="25"/>
  <c r="C43" i="24"/>
  <c r="C27" i="24"/>
  <c r="C22" i="24"/>
  <c r="C20" i="24"/>
  <c r="C17" i="24"/>
  <c r="C14" i="24"/>
  <c r="C11" i="24"/>
  <c r="C7" i="24"/>
  <c r="C43" i="22"/>
  <c r="C33" i="22"/>
  <c r="C52" i="22" s="1"/>
  <c r="C27" i="22"/>
  <c r="C22" i="22"/>
  <c r="C20" i="22"/>
  <c r="C17" i="22"/>
  <c r="C14" i="22"/>
  <c r="C11" i="22"/>
  <c r="C7" i="22"/>
  <c r="C43" i="23"/>
  <c r="C33" i="23"/>
  <c r="C52" i="23" s="1"/>
  <c r="C27" i="23"/>
  <c r="C22" i="23"/>
  <c r="C20" i="23"/>
  <c r="C17" i="23"/>
  <c r="C14" i="23"/>
  <c r="C11" i="23"/>
  <c r="C7" i="23"/>
  <c r="C43" i="20"/>
  <c r="C33" i="20"/>
  <c r="C27" i="20"/>
  <c r="C22" i="20"/>
  <c r="C20" i="20"/>
  <c r="C17" i="20"/>
  <c r="C14" i="20"/>
  <c r="C11" i="20"/>
  <c r="C7" i="20"/>
  <c r="C43" i="21"/>
  <c r="C33" i="21"/>
  <c r="C52" i="21" s="1"/>
  <c r="C27" i="21"/>
  <c r="C22" i="21"/>
  <c r="C20" i="21"/>
  <c r="C17" i="21"/>
  <c r="C14" i="21"/>
  <c r="C11" i="21"/>
  <c r="C7" i="21"/>
  <c r="C14" i="19"/>
  <c r="AG58" i="17"/>
  <c r="C1484" i="29"/>
  <c r="G42" i="29"/>
  <c r="G41" i="29"/>
  <c r="K40" i="29"/>
  <c r="G40" i="29"/>
  <c r="K39" i="29"/>
  <c r="G39" i="29"/>
  <c r="K38" i="29"/>
  <c r="G38" i="29"/>
  <c r="K37" i="29"/>
  <c r="G37" i="29"/>
  <c r="K36" i="29"/>
  <c r="G36" i="29"/>
  <c r="G31" i="29"/>
  <c r="G33" i="29" s="1"/>
  <c r="K28" i="29"/>
  <c r="K30" i="29" s="1"/>
  <c r="M27" i="29"/>
  <c r="M26" i="29"/>
  <c r="H11" i="29"/>
  <c r="L11" i="29" s="1"/>
  <c r="H10" i="29"/>
  <c r="K10" i="29" s="1"/>
  <c r="C1484" i="28"/>
  <c r="G44" i="28"/>
  <c r="G43" i="28"/>
  <c r="K40" i="28"/>
  <c r="G42" i="28"/>
  <c r="K39" i="28"/>
  <c r="G41" i="28"/>
  <c r="K38" i="28"/>
  <c r="G40" i="28"/>
  <c r="K37" i="28"/>
  <c r="G39" i="28"/>
  <c r="K36" i="28"/>
  <c r="G37" i="28"/>
  <c r="G32" i="28"/>
  <c r="G34" i="28" s="1"/>
  <c r="K28" i="28"/>
  <c r="M27" i="28"/>
  <c r="H11" i="28"/>
  <c r="L11" i="28" s="1"/>
  <c r="H10" i="28"/>
  <c r="K10" i="28" s="1"/>
  <c r="C1484" i="27"/>
  <c r="M42" i="27"/>
  <c r="G44" i="27"/>
  <c r="I44" i="27" s="1"/>
  <c r="M41" i="27"/>
  <c r="G43" i="27"/>
  <c r="I43" i="27" s="1"/>
  <c r="K40" i="27"/>
  <c r="M40" i="27" s="1"/>
  <c r="G42" i="27"/>
  <c r="I42" i="27" s="1"/>
  <c r="K39" i="27"/>
  <c r="AD55" i="49" s="1"/>
  <c r="G41" i="27"/>
  <c r="I41" i="27" s="1"/>
  <c r="K38" i="27"/>
  <c r="AD54" i="49" s="1"/>
  <c r="G40" i="27"/>
  <c r="I40" i="27" s="1"/>
  <c r="K37" i="27"/>
  <c r="G39" i="27"/>
  <c r="I39" i="27" s="1"/>
  <c r="K36" i="27"/>
  <c r="G37" i="27"/>
  <c r="G32" i="27"/>
  <c r="G34" i="27" s="1"/>
  <c r="I31" i="27"/>
  <c r="I30" i="27"/>
  <c r="K28" i="27"/>
  <c r="K30" i="27" s="1"/>
  <c r="I29" i="27"/>
  <c r="M27" i="27"/>
  <c r="I28" i="27"/>
  <c r="M26" i="27"/>
  <c r="I27" i="27"/>
  <c r="M25" i="27"/>
  <c r="I26" i="27"/>
  <c r="M24" i="27"/>
  <c r="I25" i="27"/>
  <c r="M23" i="27"/>
  <c r="I23" i="27"/>
  <c r="H11" i="27"/>
  <c r="L11" i="27" s="1"/>
  <c r="H10" i="27"/>
  <c r="K10" i="27" s="1"/>
  <c r="J5" i="27"/>
  <c r="C1484" i="26"/>
  <c r="M42" i="26"/>
  <c r="G42" i="26"/>
  <c r="I42" i="26" s="1"/>
  <c r="M41" i="26"/>
  <c r="G41" i="26"/>
  <c r="I41" i="26" s="1"/>
  <c r="K40" i="26"/>
  <c r="M40" i="26" s="1"/>
  <c r="G40" i="26"/>
  <c r="I40" i="26" s="1"/>
  <c r="K39" i="26"/>
  <c r="G39" i="26"/>
  <c r="I39" i="26" s="1"/>
  <c r="K38" i="26"/>
  <c r="G38" i="26"/>
  <c r="I38" i="26" s="1"/>
  <c r="K37" i="26"/>
  <c r="G37" i="26"/>
  <c r="I37" i="26" s="1"/>
  <c r="K36" i="26"/>
  <c r="G36" i="26"/>
  <c r="G31" i="26"/>
  <c r="G33" i="26" s="1"/>
  <c r="I30" i="26"/>
  <c r="I29" i="26"/>
  <c r="K28" i="26"/>
  <c r="K30" i="26" s="1"/>
  <c r="I28" i="26"/>
  <c r="M27" i="26"/>
  <c r="I27" i="26"/>
  <c r="M26" i="26"/>
  <c r="I26" i="26"/>
  <c r="M25" i="26"/>
  <c r="I25" i="26"/>
  <c r="M24" i="26"/>
  <c r="I24" i="26"/>
  <c r="M23" i="26"/>
  <c r="I23" i="26"/>
  <c r="H11" i="26"/>
  <c r="L11" i="26" s="1"/>
  <c r="H10" i="26"/>
  <c r="K10" i="26" s="1"/>
  <c r="J5" i="26"/>
  <c r="C1484" i="25"/>
  <c r="M42" i="25"/>
  <c r="G42" i="25"/>
  <c r="I42" i="25" s="1"/>
  <c r="M41" i="25"/>
  <c r="G41" i="25"/>
  <c r="I41" i="25" s="1"/>
  <c r="K40" i="25"/>
  <c r="M40" i="25" s="1"/>
  <c r="G40" i="25"/>
  <c r="I40" i="25" s="1"/>
  <c r="K39" i="25"/>
  <c r="G39" i="25"/>
  <c r="I39" i="25" s="1"/>
  <c r="K38" i="25"/>
  <c r="G38" i="25"/>
  <c r="I38" i="25" s="1"/>
  <c r="K37" i="25"/>
  <c r="G37" i="25"/>
  <c r="I37" i="25" s="1"/>
  <c r="K36" i="25"/>
  <c r="G36" i="25"/>
  <c r="G31" i="25"/>
  <c r="G33" i="25" s="1"/>
  <c r="I30" i="25"/>
  <c r="I29" i="25"/>
  <c r="K28" i="25"/>
  <c r="K30" i="25" s="1"/>
  <c r="I28" i="25"/>
  <c r="M27" i="25"/>
  <c r="I27" i="25"/>
  <c r="M26" i="25"/>
  <c r="I26" i="25"/>
  <c r="M25" i="25"/>
  <c r="I25" i="25"/>
  <c r="M24" i="25"/>
  <c r="I24" i="25"/>
  <c r="M23" i="25"/>
  <c r="I23" i="25"/>
  <c r="H11" i="25"/>
  <c r="L11" i="25" s="1"/>
  <c r="H10" i="25"/>
  <c r="K10" i="25" s="1"/>
  <c r="J5" i="25"/>
  <c r="C1484" i="24"/>
  <c r="M42" i="24"/>
  <c r="G42" i="24"/>
  <c r="I42" i="24" s="1"/>
  <c r="M41" i="24"/>
  <c r="G41" i="24"/>
  <c r="I41" i="24" s="1"/>
  <c r="K40" i="24"/>
  <c r="M40" i="24" s="1"/>
  <c r="G40" i="24"/>
  <c r="I40" i="24" s="1"/>
  <c r="K39" i="24"/>
  <c r="G39" i="24"/>
  <c r="I39" i="24" s="1"/>
  <c r="K38" i="24"/>
  <c r="G38" i="24"/>
  <c r="I38" i="24" s="1"/>
  <c r="K37" i="24"/>
  <c r="G37" i="24"/>
  <c r="I37" i="24" s="1"/>
  <c r="K36" i="24"/>
  <c r="G36" i="24"/>
  <c r="I36" i="24" s="1"/>
  <c r="G31" i="24"/>
  <c r="G33" i="24" s="1"/>
  <c r="I30" i="24"/>
  <c r="I29" i="24"/>
  <c r="K28" i="24"/>
  <c r="K30" i="24" s="1"/>
  <c r="I28" i="24"/>
  <c r="M27" i="24"/>
  <c r="I27" i="24"/>
  <c r="M26" i="24"/>
  <c r="I26" i="24"/>
  <c r="M25" i="24"/>
  <c r="I25" i="24"/>
  <c r="M24" i="24"/>
  <c r="I24" i="24"/>
  <c r="M23" i="24"/>
  <c r="I23" i="24"/>
  <c r="H11" i="24"/>
  <c r="L11" i="24" s="1"/>
  <c r="H10" i="24"/>
  <c r="K10" i="24" s="1"/>
  <c r="J5" i="24"/>
  <c r="C1484" i="23"/>
  <c r="M42" i="23"/>
  <c r="G42" i="23"/>
  <c r="I42" i="23" s="1"/>
  <c r="M41" i="23"/>
  <c r="G41" i="23"/>
  <c r="I41" i="23" s="1"/>
  <c r="K40" i="23"/>
  <c r="M40" i="23" s="1"/>
  <c r="G40" i="23"/>
  <c r="I40" i="23" s="1"/>
  <c r="K39" i="23"/>
  <c r="G39" i="23"/>
  <c r="I39" i="23" s="1"/>
  <c r="K38" i="23"/>
  <c r="G38" i="23"/>
  <c r="I38" i="23" s="1"/>
  <c r="K37" i="23"/>
  <c r="G37" i="23"/>
  <c r="I37" i="23" s="1"/>
  <c r="K36" i="23"/>
  <c r="G36" i="23"/>
  <c r="G31" i="23"/>
  <c r="G33" i="23" s="1"/>
  <c r="I30" i="23"/>
  <c r="I29" i="23"/>
  <c r="K28" i="23"/>
  <c r="K30" i="23" s="1"/>
  <c r="I28" i="23"/>
  <c r="M27" i="23"/>
  <c r="I27" i="23"/>
  <c r="M26" i="23"/>
  <c r="I26" i="23"/>
  <c r="M25" i="23"/>
  <c r="I25" i="23"/>
  <c r="M24" i="23"/>
  <c r="I24" i="23"/>
  <c r="M23" i="23"/>
  <c r="I23" i="23"/>
  <c r="H11" i="23"/>
  <c r="L11" i="23" s="1"/>
  <c r="H10" i="23"/>
  <c r="K10" i="23" s="1"/>
  <c r="J5" i="23"/>
  <c r="C1484" i="22"/>
  <c r="M42" i="22"/>
  <c r="G42" i="22"/>
  <c r="M41" i="22"/>
  <c r="G41" i="22"/>
  <c r="I41" i="22" s="1"/>
  <c r="K40" i="22"/>
  <c r="M40" i="22" s="1"/>
  <c r="G40" i="22"/>
  <c r="I40" i="22" s="1"/>
  <c r="K39" i="22"/>
  <c r="G39" i="22"/>
  <c r="I39" i="22" s="1"/>
  <c r="K38" i="22"/>
  <c r="G38" i="22"/>
  <c r="I38" i="22" s="1"/>
  <c r="K37" i="22"/>
  <c r="G37" i="22"/>
  <c r="I37" i="22" s="1"/>
  <c r="K36" i="22"/>
  <c r="G36" i="22"/>
  <c r="I36" i="22" s="1"/>
  <c r="G31" i="22"/>
  <c r="G33" i="22" s="1"/>
  <c r="I30" i="22"/>
  <c r="I29" i="22"/>
  <c r="K28" i="22"/>
  <c r="K30" i="22" s="1"/>
  <c r="I28" i="22"/>
  <c r="M27" i="22"/>
  <c r="I27" i="22"/>
  <c r="M26" i="22"/>
  <c r="I26" i="22"/>
  <c r="M25" i="22"/>
  <c r="I25" i="22"/>
  <c r="M24" i="22"/>
  <c r="I24" i="22"/>
  <c r="M23" i="22"/>
  <c r="I23" i="22"/>
  <c r="H11" i="22"/>
  <c r="L11" i="22" s="1"/>
  <c r="H10" i="22"/>
  <c r="K10" i="22" s="1"/>
  <c r="J5" i="22"/>
  <c r="C1484" i="21"/>
  <c r="M42" i="21"/>
  <c r="G42" i="21"/>
  <c r="I42" i="21" s="1"/>
  <c r="M41" i="21"/>
  <c r="G41" i="21"/>
  <c r="I41" i="21" s="1"/>
  <c r="K40" i="21"/>
  <c r="M40" i="21" s="1"/>
  <c r="G40" i="21"/>
  <c r="I40" i="21" s="1"/>
  <c r="K39" i="21"/>
  <c r="G39" i="21"/>
  <c r="I39" i="21" s="1"/>
  <c r="K38" i="21"/>
  <c r="G38" i="21"/>
  <c r="I38" i="21" s="1"/>
  <c r="K37" i="21"/>
  <c r="G37" i="21"/>
  <c r="I37" i="21" s="1"/>
  <c r="K36" i="21"/>
  <c r="G36" i="21"/>
  <c r="G33" i="21"/>
  <c r="I30" i="21"/>
  <c r="I29" i="21"/>
  <c r="K28" i="21"/>
  <c r="K30" i="21" s="1"/>
  <c r="I28" i="21"/>
  <c r="M27" i="21"/>
  <c r="I27" i="21"/>
  <c r="M26" i="21"/>
  <c r="I26" i="21"/>
  <c r="M25" i="21"/>
  <c r="I25" i="21"/>
  <c r="M24" i="21"/>
  <c r="I24" i="21"/>
  <c r="M23" i="21"/>
  <c r="I23" i="21"/>
  <c r="H11" i="21"/>
  <c r="L11" i="21" s="1"/>
  <c r="H10" i="21"/>
  <c r="K10" i="21" s="1"/>
  <c r="J5" i="21"/>
  <c r="C1484" i="20"/>
  <c r="M42" i="20"/>
  <c r="G42" i="20"/>
  <c r="M41" i="20"/>
  <c r="G41" i="20"/>
  <c r="I41" i="20" s="1"/>
  <c r="K40" i="20"/>
  <c r="M40" i="20" s="1"/>
  <c r="G40" i="20"/>
  <c r="I40" i="20" s="1"/>
  <c r="K39" i="20"/>
  <c r="G39" i="20"/>
  <c r="I39" i="20" s="1"/>
  <c r="K38" i="20"/>
  <c r="G38" i="20"/>
  <c r="I38" i="20" s="1"/>
  <c r="K37" i="20"/>
  <c r="G37" i="20"/>
  <c r="I37" i="20" s="1"/>
  <c r="K36" i="20"/>
  <c r="G36" i="20"/>
  <c r="I36" i="20" s="1"/>
  <c r="G31" i="20"/>
  <c r="G33" i="20" s="1"/>
  <c r="I30" i="20"/>
  <c r="I29" i="20"/>
  <c r="K28" i="20"/>
  <c r="K30" i="20" s="1"/>
  <c r="I28" i="20"/>
  <c r="M27" i="20"/>
  <c r="I27" i="20"/>
  <c r="M26" i="20"/>
  <c r="I26" i="20"/>
  <c r="M25" i="20"/>
  <c r="I25" i="20"/>
  <c r="M24" i="20"/>
  <c r="I24" i="20"/>
  <c r="M23" i="20"/>
  <c r="I23" i="20"/>
  <c r="H11" i="20"/>
  <c r="L11" i="20" s="1"/>
  <c r="H10" i="20"/>
  <c r="K10" i="20" s="1"/>
  <c r="J5" i="20"/>
  <c r="C1484" i="19"/>
  <c r="C43" i="19"/>
  <c r="M42" i="19"/>
  <c r="G42" i="19"/>
  <c r="I42" i="19" s="1"/>
  <c r="M41" i="19"/>
  <c r="G41" i="19"/>
  <c r="I41" i="19" s="1"/>
  <c r="K40" i="19"/>
  <c r="M40" i="19" s="1"/>
  <c r="G40" i="19"/>
  <c r="I40" i="19" s="1"/>
  <c r="K39" i="19"/>
  <c r="G39" i="19"/>
  <c r="I39" i="19" s="1"/>
  <c r="K38" i="19"/>
  <c r="G38" i="19"/>
  <c r="I38" i="19" s="1"/>
  <c r="K37" i="19"/>
  <c r="G37" i="19"/>
  <c r="I37" i="19" s="1"/>
  <c r="K36" i="19"/>
  <c r="G36" i="19"/>
  <c r="I36" i="19" s="1"/>
  <c r="G31" i="19"/>
  <c r="G33" i="19" s="1"/>
  <c r="I30" i="19"/>
  <c r="I29" i="19"/>
  <c r="K28" i="19"/>
  <c r="K30" i="19" s="1"/>
  <c r="I28" i="19"/>
  <c r="M27" i="19"/>
  <c r="I27" i="19"/>
  <c r="C27" i="19"/>
  <c r="M26" i="19"/>
  <c r="I26" i="19"/>
  <c r="M25" i="19"/>
  <c r="I25" i="19"/>
  <c r="M24" i="19"/>
  <c r="I24" i="19"/>
  <c r="M23" i="19"/>
  <c r="I23" i="19"/>
  <c r="C22" i="19"/>
  <c r="C20" i="19"/>
  <c r="C17" i="19"/>
  <c r="H11" i="19"/>
  <c r="L11" i="19" s="1"/>
  <c r="H10" i="19"/>
  <c r="K10" i="19" s="1"/>
  <c r="C11" i="19"/>
  <c r="J5" i="19"/>
  <c r="C33" i="19"/>
  <c r="C52" i="19" s="1"/>
  <c r="C7" i="19"/>
  <c r="V53" i="49" l="1"/>
  <c r="V20" i="49"/>
  <c r="V53" i="47"/>
  <c r="V20" i="47"/>
  <c r="V53" i="45"/>
  <c r="V20" i="45"/>
  <c r="V53" i="43"/>
  <c r="V20" i="43"/>
  <c r="V53" i="41"/>
  <c r="V20" i="41"/>
  <c r="V53" i="40"/>
  <c r="V20" i="40"/>
  <c r="V53" i="37"/>
  <c r="V20" i="37"/>
  <c r="W53" i="35"/>
  <c r="W20" i="35"/>
  <c r="V53" i="33"/>
  <c r="V20" i="33"/>
  <c r="V53" i="32"/>
  <c r="V20" i="32"/>
  <c r="V55" i="49"/>
  <c r="V55" i="47"/>
  <c r="V55" i="45"/>
  <c r="V55" i="43"/>
  <c r="V55" i="41"/>
  <c r="V55" i="40"/>
  <c r="V55" i="37"/>
  <c r="W55" i="35"/>
  <c r="V55" i="33"/>
  <c r="V55" i="32"/>
  <c r="X52" i="49"/>
  <c r="X19" i="49"/>
  <c r="X52" i="47"/>
  <c r="X19" i="47"/>
  <c r="X52" i="45"/>
  <c r="X19" i="45"/>
  <c r="X52" i="43"/>
  <c r="X19" i="43"/>
  <c r="X52" i="41"/>
  <c r="X19" i="41"/>
  <c r="X52" i="40"/>
  <c r="X19" i="40"/>
  <c r="X52" i="37"/>
  <c r="X19" i="37"/>
  <c r="X54" i="49"/>
  <c r="X54" i="47"/>
  <c r="X54" i="45"/>
  <c r="X54" i="43"/>
  <c r="X54" i="41"/>
  <c r="X54" i="40"/>
  <c r="X54" i="37"/>
  <c r="Z53" i="49"/>
  <c r="Z20" i="49"/>
  <c r="Z53" i="47"/>
  <c r="Z20" i="47"/>
  <c r="Z53" i="45"/>
  <c r="Z20" i="45"/>
  <c r="Z53" i="43"/>
  <c r="Z20" i="43"/>
  <c r="Z53" i="41"/>
  <c r="Z20" i="41"/>
  <c r="Z55" i="49"/>
  <c r="Z55" i="47"/>
  <c r="Z55" i="45"/>
  <c r="Z55" i="43"/>
  <c r="Z55" i="41"/>
  <c r="AA52" i="49"/>
  <c r="AA19" i="49"/>
  <c r="AA52" i="47"/>
  <c r="AA19" i="47"/>
  <c r="AA52" i="45"/>
  <c r="AA19" i="45"/>
  <c r="AA52" i="43"/>
  <c r="AA19" i="43"/>
  <c r="AA54" i="49"/>
  <c r="AA54" i="47"/>
  <c r="AA54" i="45"/>
  <c r="AA54" i="43"/>
  <c r="AC53" i="49"/>
  <c r="AC20" i="49"/>
  <c r="AC53" i="47"/>
  <c r="AC20" i="47"/>
  <c r="M39" i="26"/>
  <c r="AC55" i="49"/>
  <c r="AC55" i="47"/>
  <c r="AC55" i="45"/>
  <c r="AC55" i="43"/>
  <c r="AC55" i="41"/>
  <c r="AC55" i="40"/>
  <c r="AC55" i="37"/>
  <c r="AD55" i="35"/>
  <c r="AC55" i="33"/>
  <c r="AE55" i="32"/>
  <c r="AC55" i="17"/>
  <c r="AF53" i="49"/>
  <c r="AF20" i="49"/>
  <c r="AF53" i="47"/>
  <c r="AF20" i="47"/>
  <c r="AF53" i="45"/>
  <c r="AF20" i="45"/>
  <c r="AF53" i="43"/>
  <c r="AF20" i="43"/>
  <c r="AF53" i="41"/>
  <c r="AF20" i="41"/>
  <c r="AF53" i="40"/>
  <c r="AF20" i="40"/>
  <c r="AF53" i="37"/>
  <c r="AF20" i="37"/>
  <c r="AG53" i="35"/>
  <c r="AG20" i="35"/>
  <c r="AF53" i="33"/>
  <c r="AF20" i="33"/>
  <c r="AH53" i="32"/>
  <c r="AH20" i="32"/>
  <c r="AF55" i="49"/>
  <c r="AF55" i="47"/>
  <c r="AF55" i="45"/>
  <c r="AF55" i="43"/>
  <c r="AF55" i="41"/>
  <c r="AF55" i="40"/>
  <c r="AF55" i="37"/>
  <c r="AG55" i="35"/>
  <c r="AF55" i="33"/>
  <c r="AH55" i="32"/>
  <c r="W52" i="49"/>
  <c r="W19" i="49"/>
  <c r="W52" i="47"/>
  <c r="W19" i="47"/>
  <c r="W52" i="45"/>
  <c r="W19" i="45"/>
  <c r="W52" i="43"/>
  <c r="W19" i="43"/>
  <c r="W52" i="41"/>
  <c r="W19" i="41"/>
  <c r="W52" i="40"/>
  <c r="W19" i="40"/>
  <c r="W52" i="37"/>
  <c r="W19" i="37"/>
  <c r="X52" i="35"/>
  <c r="X19" i="35"/>
  <c r="W52" i="33"/>
  <c r="W19" i="33"/>
  <c r="Y54" i="32"/>
  <c r="W54" i="49"/>
  <c r="W54" i="47"/>
  <c r="W54" i="45"/>
  <c r="W54" i="43"/>
  <c r="W54" i="41"/>
  <c r="W54" i="40"/>
  <c r="W54" i="37"/>
  <c r="X54" i="35"/>
  <c r="W54" i="33"/>
  <c r="Y53" i="49"/>
  <c r="Y20" i="49"/>
  <c r="Y53" i="47"/>
  <c r="Y20" i="47"/>
  <c r="Y53" i="45"/>
  <c r="Y20" i="45"/>
  <c r="Y53" i="43"/>
  <c r="Y20" i="43"/>
  <c r="Y53" i="41"/>
  <c r="Y20" i="41"/>
  <c r="Y53" i="40"/>
  <c r="Y20" i="40"/>
  <c r="Y55" i="49"/>
  <c r="Y55" i="47"/>
  <c r="Y55" i="45"/>
  <c r="Y55" i="43"/>
  <c r="Y55" i="41"/>
  <c r="Y55" i="40"/>
  <c r="AB52" i="49"/>
  <c r="AB19" i="49"/>
  <c r="AB52" i="47"/>
  <c r="AB19" i="47"/>
  <c r="AB52" i="45"/>
  <c r="AB19" i="45"/>
  <c r="AB54" i="49"/>
  <c r="AB54" i="47"/>
  <c r="AB54" i="45"/>
  <c r="AD53" i="49"/>
  <c r="AD20" i="49"/>
  <c r="V52" i="49"/>
  <c r="V19" i="49"/>
  <c r="V52" i="47"/>
  <c r="V19" i="47"/>
  <c r="V52" i="45"/>
  <c r="V60" i="45" s="1"/>
  <c r="V19" i="45"/>
  <c r="V52" i="43"/>
  <c r="V19" i="43"/>
  <c r="V52" i="41"/>
  <c r="V19" i="41"/>
  <c r="V52" i="40"/>
  <c r="V19" i="40"/>
  <c r="V52" i="37"/>
  <c r="V60" i="37" s="1"/>
  <c r="V19" i="37"/>
  <c r="W52" i="35"/>
  <c r="W19" i="35"/>
  <c r="V52" i="33"/>
  <c r="V19" i="33"/>
  <c r="V52" i="32"/>
  <c r="V19" i="32"/>
  <c r="V54" i="49"/>
  <c r="V54" i="47"/>
  <c r="V54" i="45"/>
  <c r="V54" i="43"/>
  <c r="V54" i="41"/>
  <c r="V54" i="40"/>
  <c r="V54" i="37"/>
  <c r="W54" i="35"/>
  <c r="V54" i="33"/>
  <c r="V54" i="32"/>
  <c r="X53" i="49"/>
  <c r="X20" i="49"/>
  <c r="X53" i="47"/>
  <c r="X20" i="47"/>
  <c r="X53" i="45"/>
  <c r="X20" i="45"/>
  <c r="X53" i="43"/>
  <c r="X20" i="43"/>
  <c r="X53" i="41"/>
  <c r="X20" i="41"/>
  <c r="X53" i="40"/>
  <c r="X20" i="40"/>
  <c r="X53" i="37"/>
  <c r="X20" i="37"/>
  <c r="X55" i="49"/>
  <c r="X55" i="47"/>
  <c r="X55" i="45"/>
  <c r="X55" i="43"/>
  <c r="X55" i="41"/>
  <c r="X55" i="40"/>
  <c r="X55" i="37"/>
  <c r="Z52" i="49"/>
  <c r="Z19" i="49"/>
  <c r="Z52" i="47"/>
  <c r="Z60" i="47" s="1"/>
  <c r="Z19" i="47"/>
  <c r="Z52" i="45"/>
  <c r="Z19" i="45"/>
  <c r="Z52" i="43"/>
  <c r="Z60" i="43" s="1"/>
  <c r="Z19" i="43"/>
  <c r="Z52" i="41"/>
  <c r="Z19" i="41"/>
  <c r="Z54" i="49"/>
  <c r="Z54" i="47"/>
  <c r="Z54" i="45"/>
  <c r="Z54" i="43"/>
  <c r="Z54" i="41"/>
  <c r="AA53" i="49"/>
  <c r="AA20" i="49"/>
  <c r="AA53" i="47"/>
  <c r="AA20" i="47"/>
  <c r="AA53" i="45"/>
  <c r="AA20" i="45"/>
  <c r="AA53" i="43"/>
  <c r="AA20" i="43"/>
  <c r="AA55" i="49"/>
  <c r="AA55" i="47"/>
  <c r="AA55" i="45"/>
  <c r="AA55" i="43"/>
  <c r="AC52" i="49"/>
  <c r="AC19" i="49"/>
  <c r="AC52" i="47"/>
  <c r="AC19" i="47"/>
  <c r="AC54" i="49"/>
  <c r="AC54" i="47"/>
  <c r="AF52" i="49"/>
  <c r="AF19" i="49"/>
  <c r="AF27" i="49" s="1"/>
  <c r="AF52" i="47"/>
  <c r="AF19" i="47"/>
  <c r="AF27" i="47" s="1"/>
  <c r="AF52" i="45"/>
  <c r="AF19" i="45"/>
  <c r="AF27" i="45" s="1"/>
  <c r="AF52" i="43"/>
  <c r="AF19" i="43"/>
  <c r="AF27" i="43" s="1"/>
  <c r="AF52" i="41"/>
  <c r="AF19" i="41"/>
  <c r="AF27" i="41" s="1"/>
  <c r="AF52" i="40"/>
  <c r="AF19" i="40"/>
  <c r="AF27" i="40" s="1"/>
  <c r="AF52" i="37"/>
  <c r="AF19" i="37"/>
  <c r="AF27" i="37" s="1"/>
  <c r="AG52" i="35"/>
  <c r="AG19" i="35"/>
  <c r="AG27" i="35" s="1"/>
  <c r="AF52" i="33"/>
  <c r="AF19" i="33"/>
  <c r="AF27" i="33" s="1"/>
  <c r="AH52" i="32"/>
  <c r="AH19" i="32"/>
  <c r="AH27" i="32" s="1"/>
  <c r="AF54" i="17"/>
  <c r="AF54" i="49"/>
  <c r="AF54" i="47"/>
  <c r="AF54" i="45"/>
  <c r="AF54" i="43"/>
  <c r="AF54" i="41"/>
  <c r="AF54" i="40"/>
  <c r="AF54" i="37"/>
  <c r="AG54" i="35"/>
  <c r="AF54" i="33"/>
  <c r="AH54" i="32"/>
  <c r="W53" i="49"/>
  <c r="W20" i="49"/>
  <c r="W53" i="47"/>
  <c r="W20" i="47"/>
  <c r="W53" i="45"/>
  <c r="W20" i="45"/>
  <c r="W53" i="43"/>
  <c r="W20" i="43"/>
  <c r="W53" i="41"/>
  <c r="W20" i="41"/>
  <c r="W53" i="40"/>
  <c r="W20" i="40"/>
  <c r="W53" i="37"/>
  <c r="W20" i="37"/>
  <c r="X53" i="35"/>
  <c r="X20" i="35"/>
  <c r="W53" i="33"/>
  <c r="W20" i="33"/>
  <c r="Y55" i="32"/>
  <c r="W55" i="49"/>
  <c r="W55" i="47"/>
  <c r="W55" i="45"/>
  <c r="W55" i="43"/>
  <c r="W55" i="41"/>
  <c r="W55" i="40"/>
  <c r="W55" i="37"/>
  <c r="X55" i="35"/>
  <c r="W55" i="33"/>
  <c r="Y52" i="49"/>
  <c r="Y19" i="49"/>
  <c r="Y52" i="47"/>
  <c r="Y19" i="47"/>
  <c r="Y52" i="45"/>
  <c r="Y19" i="45"/>
  <c r="Y52" i="43"/>
  <c r="Y60" i="43" s="1"/>
  <c r="Y19" i="43"/>
  <c r="Y52" i="41"/>
  <c r="Y19" i="41"/>
  <c r="Y52" i="40"/>
  <c r="Y60" i="40" s="1"/>
  <c r="Y19" i="40"/>
  <c r="Y54" i="49"/>
  <c r="Y54" i="47"/>
  <c r="Y54" i="45"/>
  <c r="Y54" i="43"/>
  <c r="Y54" i="41"/>
  <c r="Y54" i="40"/>
  <c r="AB53" i="49"/>
  <c r="AB20" i="49"/>
  <c r="AB53" i="47"/>
  <c r="AB20" i="47"/>
  <c r="AB53" i="45"/>
  <c r="AB20" i="45"/>
  <c r="M39" i="25"/>
  <c r="AB55" i="49"/>
  <c r="AB55" i="47"/>
  <c r="AB55" i="45"/>
  <c r="AB55" i="43"/>
  <c r="AB55" i="41"/>
  <c r="AB55" i="40"/>
  <c r="AB55" i="37"/>
  <c r="AC55" i="35"/>
  <c r="AB55" i="33"/>
  <c r="AD55" i="32"/>
  <c r="AB55" i="17"/>
  <c r="AD52" i="49"/>
  <c r="AD60" i="49" s="1"/>
  <c r="AD19" i="49"/>
  <c r="AE52" i="49"/>
  <c r="AE19" i="49"/>
  <c r="AE52" i="47"/>
  <c r="AE19" i="47"/>
  <c r="AE52" i="45"/>
  <c r="AE19" i="45"/>
  <c r="AE52" i="43"/>
  <c r="AE19" i="43"/>
  <c r="AE52" i="41"/>
  <c r="AE19" i="41"/>
  <c r="AE52" i="40"/>
  <c r="AE19" i="40"/>
  <c r="AE52" i="37"/>
  <c r="AE19" i="37"/>
  <c r="AF52" i="35"/>
  <c r="AF19" i="35"/>
  <c r="AE52" i="33"/>
  <c r="AE19" i="33"/>
  <c r="AG52" i="32"/>
  <c r="AG19" i="32"/>
  <c r="AE53" i="49"/>
  <c r="AE20" i="49"/>
  <c r="AE53" i="47"/>
  <c r="AE20" i="47"/>
  <c r="AE53" i="45"/>
  <c r="AE20" i="45"/>
  <c r="AE53" i="43"/>
  <c r="AE20" i="43"/>
  <c r="AE53" i="41"/>
  <c r="AE20" i="41"/>
  <c r="AE53" i="40"/>
  <c r="AE20" i="40"/>
  <c r="AE53" i="37"/>
  <c r="AE20" i="37"/>
  <c r="AF53" i="35"/>
  <c r="AF20" i="35"/>
  <c r="AE53" i="33"/>
  <c r="AE20" i="33"/>
  <c r="AG53" i="32"/>
  <c r="AG20" i="32"/>
  <c r="AE55" i="49"/>
  <c r="AE55" i="47"/>
  <c r="AE55" i="45"/>
  <c r="AE55" i="43"/>
  <c r="AE55" i="41"/>
  <c r="AE55" i="40"/>
  <c r="AE55" i="37"/>
  <c r="AF55" i="35"/>
  <c r="AE55" i="33"/>
  <c r="AG55" i="32"/>
  <c r="AE54" i="17"/>
  <c r="AE54" i="49"/>
  <c r="AE54" i="47"/>
  <c r="AE54" i="45"/>
  <c r="AE54" i="43"/>
  <c r="AE54" i="41"/>
  <c r="AE54" i="40"/>
  <c r="AE54" i="37"/>
  <c r="AF54" i="35"/>
  <c r="AE54" i="33"/>
  <c r="AG54" i="32"/>
  <c r="AD52" i="47"/>
  <c r="AD19" i="47"/>
  <c r="AD52" i="45"/>
  <c r="AD19" i="45"/>
  <c r="AD52" i="43"/>
  <c r="AD19" i="43"/>
  <c r="AD52" i="41"/>
  <c r="AD19" i="41"/>
  <c r="AD52" i="40"/>
  <c r="AD19" i="40"/>
  <c r="AD52" i="37"/>
  <c r="AD19" i="37"/>
  <c r="AE52" i="35"/>
  <c r="AE19" i="35"/>
  <c r="AD52" i="33"/>
  <c r="AD19" i="33"/>
  <c r="AF52" i="32"/>
  <c r="AF19" i="32"/>
  <c r="AD54" i="17"/>
  <c r="AD54" i="47"/>
  <c r="AD54" i="45"/>
  <c r="AD54" i="43"/>
  <c r="AD54" i="41"/>
  <c r="AD54" i="40"/>
  <c r="AD54" i="37"/>
  <c r="AE54" i="35"/>
  <c r="AD54" i="33"/>
  <c r="AF54" i="32"/>
  <c r="AD53" i="47"/>
  <c r="AD20" i="47"/>
  <c r="AD53" i="45"/>
  <c r="AD20" i="45"/>
  <c r="AD53" i="43"/>
  <c r="AD20" i="43"/>
  <c r="AD53" i="41"/>
  <c r="AD20" i="41"/>
  <c r="AD53" i="40"/>
  <c r="AD20" i="40"/>
  <c r="AD53" i="37"/>
  <c r="AD20" i="37"/>
  <c r="AE53" i="35"/>
  <c r="AE20" i="35"/>
  <c r="AD53" i="33"/>
  <c r="AD20" i="33"/>
  <c r="AF53" i="32"/>
  <c r="AF20" i="32"/>
  <c r="M39" i="27"/>
  <c r="AD55" i="47"/>
  <c r="AD55" i="45"/>
  <c r="AD55" i="43"/>
  <c r="AD55" i="41"/>
  <c r="AD55" i="40"/>
  <c r="AD55" i="37"/>
  <c r="AE55" i="35"/>
  <c r="AD55" i="33"/>
  <c r="AF55" i="32"/>
  <c r="AD55" i="17"/>
  <c r="AC54" i="45"/>
  <c r="AC54" i="43"/>
  <c r="AC54" i="41"/>
  <c r="AC54" i="40"/>
  <c r="AC54" i="37"/>
  <c r="AD54" i="35"/>
  <c r="AC54" i="33"/>
  <c r="AE54" i="32"/>
  <c r="AC53" i="45"/>
  <c r="AC20" i="45"/>
  <c r="AC53" i="43"/>
  <c r="AC20" i="43"/>
  <c r="AC53" i="41"/>
  <c r="AC20" i="41"/>
  <c r="AC53" i="40"/>
  <c r="AC20" i="40"/>
  <c r="AC53" i="37"/>
  <c r="AC20" i="37"/>
  <c r="AD53" i="35"/>
  <c r="AD20" i="35"/>
  <c r="AC53" i="33"/>
  <c r="AC20" i="33"/>
  <c r="AE53" i="32"/>
  <c r="AE20" i="32"/>
  <c r="AC52" i="45"/>
  <c r="AC19" i="45"/>
  <c r="AC52" i="43"/>
  <c r="AC19" i="43"/>
  <c r="AC52" i="41"/>
  <c r="AC60" i="41" s="1"/>
  <c r="AC19" i="41"/>
  <c r="AC52" i="40"/>
  <c r="AC19" i="40"/>
  <c r="AC52" i="37"/>
  <c r="AC60" i="37" s="1"/>
  <c r="AC19" i="37"/>
  <c r="AD52" i="35"/>
  <c r="AD19" i="35"/>
  <c r="AC52" i="33"/>
  <c r="AC60" i="33" s="1"/>
  <c r="AC19" i="33"/>
  <c r="AE52" i="32"/>
  <c r="AE19" i="32"/>
  <c r="AB54" i="43"/>
  <c r="AB54" i="41"/>
  <c r="AB54" i="40"/>
  <c r="AB54" i="37"/>
  <c r="AC54" i="35"/>
  <c r="AB54" i="33"/>
  <c r="AD54" i="32"/>
  <c r="AB53" i="43"/>
  <c r="AB20" i="43"/>
  <c r="AB53" i="41"/>
  <c r="AB20" i="41"/>
  <c r="AB53" i="40"/>
  <c r="AB20" i="40"/>
  <c r="AB53" i="37"/>
  <c r="AB20" i="37"/>
  <c r="AC53" i="35"/>
  <c r="AC20" i="35"/>
  <c r="AB53" i="33"/>
  <c r="AB20" i="33"/>
  <c r="AD53" i="32"/>
  <c r="AD20" i="32"/>
  <c r="AB52" i="43"/>
  <c r="AB19" i="43"/>
  <c r="AB52" i="41"/>
  <c r="AB19" i="41"/>
  <c r="AB52" i="40"/>
  <c r="AB19" i="40"/>
  <c r="AB52" i="37"/>
  <c r="AB60" i="37" s="1"/>
  <c r="AB19" i="37"/>
  <c r="AC52" i="35"/>
  <c r="AC19" i="35"/>
  <c r="AB52" i="33"/>
  <c r="AB19" i="33"/>
  <c r="AD52" i="32"/>
  <c r="AD19" i="32"/>
  <c r="AA55" i="41"/>
  <c r="AA55" i="40"/>
  <c r="AA55" i="37"/>
  <c r="AB55" i="35"/>
  <c r="AA55" i="33"/>
  <c r="AC55" i="32"/>
  <c r="AA54" i="41"/>
  <c r="AA54" i="40"/>
  <c r="AA54" i="37"/>
  <c r="AB54" i="35"/>
  <c r="AA54" i="33"/>
  <c r="AC54" i="32"/>
  <c r="AA53" i="41"/>
  <c r="AA20" i="41"/>
  <c r="AA53" i="40"/>
  <c r="AA20" i="40"/>
  <c r="AA53" i="37"/>
  <c r="AA20" i="37"/>
  <c r="AB53" i="35"/>
  <c r="AB20" i="35"/>
  <c r="AA53" i="33"/>
  <c r="AA20" i="33"/>
  <c r="AC53" i="32"/>
  <c r="AC20" i="32"/>
  <c r="AA52" i="41"/>
  <c r="AA19" i="41"/>
  <c r="AA52" i="40"/>
  <c r="AA19" i="40"/>
  <c r="AA52" i="37"/>
  <c r="AA60" i="37" s="1"/>
  <c r="AA19" i="37"/>
  <c r="AB52" i="35"/>
  <c r="AB19" i="35"/>
  <c r="AA52" i="33"/>
  <c r="AA19" i="33"/>
  <c r="AC52" i="32"/>
  <c r="AC19" i="32"/>
  <c r="Z55" i="40"/>
  <c r="Z55" i="37"/>
  <c r="AA55" i="35"/>
  <c r="Z55" i="33"/>
  <c r="AB55" i="32"/>
  <c r="Z54" i="40"/>
  <c r="Z54" i="37"/>
  <c r="AA54" i="35"/>
  <c r="Z54" i="33"/>
  <c r="AB54" i="32"/>
  <c r="Z53" i="40"/>
  <c r="Z20" i="40"/>
  <c r="Z53" i="37"/>
  <c r="Z20" i="37"/>
  <c r="AA53" i="35"/>
  <c r="AA20" i="35"/>
  <c r="Z53" i="33"/>
  <c r="Z20" i="33"/>
  <c r="AB53" i="32"/>
  <c r="AB20" i="32"/>
  <c r="Z52" i="40"/>
  <c r="Z19" i="40"/>
  <c r="Z52" i="37"/>
  <c r="Z19" i="37"/>
  <c r="AA52" i="35"/>
  <c r="AA19" i="35"/>
  <c r="Z52" i="33"/>
  <c r="Z19" i="33"/>
  <c r="AB52" i="32"/>
  <c r="AB60" i="32" s="1"/>
  <c r="AB19" i="32"/>
  <c r="Y55" i="37"/>
  <c r="Z55" i="35"/>
  <c r="Y55" i="33"/>
  <c r="AA55" i="32"/>
  <c r="Y54" i="37"/>
  <c r="Z54" i="35"/>
  <c r="Y54" i="33"/>
  <c r="AA54" i="32"/>
  <c r="Y53" i="37"/>
  <c r="Y20" i="37"/>
  <c r="Z53" i="35"/>
  <c r="Z20" i="35"/>
  <c r="Y53" i="33"/>
  <c r="Y20" i="33"/>
  <c r="AA53" i="32"/>
  <c r="AA20" i="32"/>
  <c r="Y52" i="37"/>
  <c r="Y19" i="37"/>
  <c r="Z52" i="35"/>
  <c r="Z19" i="35"/>
  <c r="Y52" i="33"/>
  <c r="Y60" i="33" s="1"/>
  <c r="Y19" i="33"/>
  <c r="AA52" i="32"/>
  <c r="AA60" i="32" s="1"/>
  <c r="AA19" i="32"/>
  <c r="Y55" i="35"/>
  <c r="X55" i="33"/>
  <c r="Z55" i="32"/>
  <c r="Y54" i="35"/>
  <c r="X54" i="33"/>
  <c r="Z54" i="32"/>
  <c r="Y53" i="35"/>
  <c r="Y20" i="35"/>
  <c r="X53" i="33"/>
  <c r="X20" i="33"/>
  <c r="Z53" i="32"/>
  <c r="Z20" i="32"/>
  <c r="Y52" i="35"/>
  <c r="Y19" i="35"/>
  <c r="X52" i="33"/>
  <c r="X19" i="33"/>
  <c r="Z52" i="32"/>
  <c r="Z19" i="32"/>
  <c r="Y52" i="32"/>
  <c r="Y19" i="32"/>
  <c r="Y53" i="32"/>
  <c r="Y20" i="32"/>
  <c r="AL78" i="17"/>
  <c r="AL76" i="16"/>
  <c r="AM76" i="16"/>
  <c r="AL77" i="16"/>
  <c r="AM77" i="16"/>
  <c r="AF53" i="17"/>
  <c r="AF20" i="17"/>
  <c r="AF55" i="17"/>
  <c r="AF52" i="17"/>
  <c r="AF19" i="17"/>
  <c r="AE53" i="17"/>
  <c r="AE20" i="17"/>
  <c r="AE55" i="17"/>
  <c r="AE52" i="17"/>
  <c r="AE19" i="17"/>
  <c r="AD53" i="17"/>
  <c r="AD20" i="17"/>
  <c r="AD52" i="17"/>
  <c r="AD19" i="17"/>
  <c r="M37" i="26"/>
  <c r="AC53" i="17"/>
  <c r="AC20" i="17"/>
  <c r="M36" i="26"/>
  <c r="AC52" i="17"/>
  <c r="AC19" i="17"/>
  <c r="M38" i="26"/>
  <c r="M43" i="26" s="1"/>
  <c r="J51" i="26" s="1"/>
  <c r="M17" i="30" s="1"/>
  <c r="AC54" i="17"/>
  <c r="M37" i="25"/>
  <c r="AB53" i="17"/>
  <c r="AB20" i="17"/>
  <c r="AB52" i="17"/>
  <c r="AB19" i="17"/>
  <c r="M38" i="25"/>
  <c r="AB54" i="17"/>
  <c r="AA52" i="17"/>
  <c r="AA19" i="17"/>
  <c r="M37" i="24"/>
  <c r="AA53" i="17"/>
  <c r="AA20" i="17"/>
  <c r="M39" i="24"/>
  <c r="AA55" i="17"/>
  <c r="M38" i="24"/>
  <c r="AA54" i="17"/>
  <c r="M37" i="22"/>
  <c r="Z53" i="17"/>
  <c r="Z20" i="17"/>
  <c r="Z52" i="17"/>
  <c r="Z19" i="17"/>
  <c r="M38" i="22"/>
  <c r="Z54" i="17"/>
  <c r="M39" i="22"/>
  <c r="Z55" i="17"/>
  <c r="M38" i="23"/>
  <c r="Y54" i="17"/>
  <c r="Y52" i="17"/>
  <c r="Y19" i="17"/>
  <c r="M37" i="23"/>
  <c r="Y53" i="17"/>
  <c r="Y20" i="17"/>
  <c r="M39" i="23"/>
  <c r="Y55" i="17"/>
  <c r="M38" i="20"/>
  <c r="X54" i="17"/>
  <c r="M37" i="20"/>
  <c r="X53" i="17"/>
  <c r="X20" i="17"/>
  <c r="X52" i="17"/>
  <c r="X19" i="17"/>
  <c r="M39" i="20"/>
  <c r="X55" i="17"/>
  <c r="M39" i="21"/>
  <c r="W55" i="17"/>
  <c r="M37" i="21"/>
  <c r="W53" i="17"/>
  <c r="W20" i="17"/>
  <c r="W52" i="17"/>
  <c r="W19" i="17"/>
  <c r="M38" i="21"/>
  <c r="W54" i="17"/>
  <c r="M39" i="19"/>
  <c r="V55" i="17"/>
  <c r="V52" i="17"/>
  <c r="V19" i="17"/>
  <c r="M38" i="19"/>
  <c r="V54" i="17"/>
  <c r="M37" i="19"/>
  <c r="V53" i="17"/>
  <c r="V20" i="17"/>
  <c r="C30" i="27"/>
  <c r="C32" i="27" s="1"/>
  <c r="C34" i="27" s="1"/>
  <c r="K30" i="28"/>
  <c r="C30" i="23"/>
  <c r="C32" i="23" s="1"/>
  <c r="C34" i="23" s="1"/>
  <c r="H7" i="23" s="1"/>
  <c r="F1" i="19"/>
  <c r="C55" i="21"/>
  <c r="C58" i="21" s="1"/>
  <c r="C55" i="23"/>
  <c r="C55" i="22"/>
  <c r="C58" i="22" s="1"/>
  <c r="G43" i="26"/>
  <c r="G45" i="26" s="1"/>
  <c r="C1" i="20"/>
  <c r="F1" i="20" s="1"/>
  <c r="F1" i="21"/>
  <c r="M37" i="27"/>
  <c r="C30" i="25"/>
  <c r="C32" i="25" s="1"/>
  <c r="C34" i="25" s="1"/>
  <c r="H7" i="25" s="1"/>
  <c r="C55" i="26"/>
  <c r="C58" i="26" s="1"/>
  <c r="C30" i="21"/>
  <c r="C32" i="21" s="1"/>
  <c r="C34" i="21" s="1"/>
  <c r="H7" i="21" s="1"/>
  <c r="I31" i="26"/>
  <c r="I32" i="26" s="1"/>
  <c r="C30" i="29"/>
  <c r="C32" i="29" s="1"/>
  <c r="C34" i="29" s="1"/>
  <c r="H7" i="29" s="1"/>
  <c r="C55" i="24"/>
  <c r="C58" i="24" s="1"/>
  <c r="M28" i="27"/>
  <c r="M29" i="27" s="1"/>
  <c r="G45" i="28"/>
  <c r="G47" i="28" s="1"/>
  <c r="G43" i="29"/>
  <c r="G45" i="29" s="1"/>
  <c r="C55" i="20"/>
  <c r="C58" i="20" s="1"/>
  <c r="C30" i="24"/>
  <c r="C32" i="24" s="1"/>
  <c r="C34" i="24" s="1"/>
  <c r="H7" i="24" s="1"/>
  <c r="C55" i="25"/>
  <c r="C58" i="25" s="1"/>
  <c r="C30" i="28"/>
  <c r="C32" i="28" s="1"/>
  <c r="C34" i="28" s="1"/>
  <c r="H7" i="28" s="1"/>
  <c r="J7" i="28" s="1"/>
  <c r="C55" i="29"/>
  <c r="C58" i="29" s="1"/>
  <c r="C60" i="29" s="1"/>
  <c r="M28" i="23"/>
  <c r="K51" i="23" s="1"/>
  <c r="I20" i="30" s="1"/>
  <c r="M28" i="24"/>
  <c r="K51" i="24" s="1"/>
  <c r="K20" i="30" s="1"/>
  <c r="K43" i="27"/>
  <c r="K45" i="27" s="1"/>
  <c r="I45" i="28"/>
  <c r="C30" i="22"/>
  <c r="C32" i="22" s="1"/>
  <c r="C34" i="22" s="1"/>
  <c r="C55" i="27"/>
  <c r="M28" i="19"/>
  <c r="K51" i="19" s="1"/>
  <c r="F20" i="30" s="1"/>
  <c r="K43" i="19"/>
  <c r="K45" i="19" s="1"/>
  <c r="K43" i="20"/>
  <c r="K45" i="20" s="1"/>
  <c r="I31" i="21"/>
  <c r="I51" i="21" s="1"/>
  <c r="G11" i="30" s="1"/>
  <c r="I31" i="22"/>
  <c r="I32" i="22" s="1"/>
  <c r="I31" i="23"/>
  <c r="I32" i="23" s="1"/>
  <c r="K43" i="23"/>
  <c r="K45" i="23" s="1"/>
  <c r="K43" i="24"/>
  <c r="K45" i="24" s="1"/>
  <c r="M28" i="26"/>
  <c r="K51" i="26" s="1"/>
  <c r="M20" i="30" s="1"/>
  <c r="G45" i="27"/>
  <c r="G47" i="27" s="1"/>
  <c r="M28" i="29"/>
  <c r="M29" i="29" s="1"/>
  <c r="C30" i="26"/>
  <c r="C32" i="26" s="1"/>
  <c r="C34" i="26" s="1"/>
  <c r="I31" i="19"/>
  <c r="I51" i="19" s="1"/>
  <c r="F11" i="30" s="1"/>
  <c r="G43" i="21"/>
  <c r="G45" i="21" s="1"/>
  <c r="G43" i="23"/>
  <c r="G45" i="23" s="1"/>
  <c r="K43" i="29"/>
  <c r="K45" i="29" s="1"/>
  <c r="C30" i="20"/>
  <c r="C32" i="20" s="1"/>
  <c r="C34" i="20" s="1"/>
  <c r="C55" i="28"/>
  <c r="C58" i="28" s="1"/>
  <c r="C55" i="19"/>
  <c r="H9" i="19" s="1"/>
  <c r="I43" i="29"/>
  <c r="I31" i="29"/>
  <c r="I51" i="29" s="1"/>
  <c r="M28" i="28"/>
  <c r="K43" i="28"/>
  <c r="K45" i="28" s="1"/>
  <c r="I32" i="28"/>
  <c r="I53" i="28" s="1"/>
  <c r="M38" i="27"/>
  <c r="M36" i="27"/>
  <c r="I32" i="27"/>
  <c r="I53" i="27" s="1"/>
  <c r="I37" i="27"/>
  <c r="I45" i="27" s="1"/>
  <c r="I36" i="26"/>
  <c r="I43" i="26" s="1"/>
  <c r="H51" i="26" s="1"/>
  <c r="M28" i="25"/>
  <c r="M29" i="25" s="1"/>
  <c r="K43" i="25"/>
  <c r="K45" i="25" s="1"/>
  <c r="I31" i="25"/>
  <c r="I51" i="25" s="1"/>
  <c r="G43" i="25"/>
  <c r="G45" i="25" s="1"/>
  <c r="I36" i="25"/>
  <c r="I43" i="25" s="1"/>
  <c r="I31" i="24"/>
  <c r="I32" i="24" s="1"/>
  <c r="M28" i="22"/>
  <c r="K51" i="22" s="1"/>
  <c r="J20" i="30" s="1"/>
  <c r="K43" i="22"/>
  <c r="K45" i="22" s="1"/>
  <c r="G43" i="22"/>
  <c r="G45" i="22" s="1"/>
  <c r="I36" i="23"/>
  <c r="I43" i="23" s="1"/>
  <c r="M28" i="20"/>
  <c r="M29" i="20" s="1"/>
  <c r="I31" i="20"/>
  <c r="I51" i="20" s="1"/>
  <c r="G43" i="20"/>
  <c r="G45" i="20" s="1"/>
  <c r="M28" i="21"/>
  <c r="M29" i="21" s="1"/>
  <c r="K43" i="21"/>
  <c r="K45" i="21" s="1"/>
  <c r="I36" i="21"/>
  <c r="I43" i="21" s="1"/>
  <c r="I43" i="19"/>
  <c r="H51" i="19" s="1"/>
  <c r="I43" i="24"/>
  <c r="M36" i="25"/>
  <c r="M43" i="25" s="1"/>
  <c r="M43" i="29"/>
  <c r="M36" i="24"/>
  <c r="G43" i="24"/>
  <c r="K43" i="26"/>
  <c r="K45" i="26" s="1"/>
  <c r="M43" i="28"/>
  <c r="I42" i="22"/>
  <c r="I43" i="22" s="1"/>
  <c r="M36" i="23"/>
  <c r="M36" i="22"/>
  <c r="I42" i="20"/>
  <c r="I43" i="20" s="1"/>
  <c r="M36" i="21"/>
  <c r="M36" i="20"/>
  <c r="C30" i="19"/>
  <c r="C32" i="19" s="1"/>
  <c r="C34" i="19" s="1"/>
  <c r="H7" i="19" s="1"/>
  <c r="M36" i="19"/>
  <c r="G43" i="19"/>
  <c r="F8" i="30" l="1"/>
  <c r="AE60" i="32"/>
  <c r="AC60" i="40"/>
  <c r="Y43" i="40"/>
  <c r="Y27" i="40"/>
  <c r="Y43" i="43"/>
  <c r="Y27" i="43"/>
  <c r="Y43" i="47"/>
  <c r="Y27" i="47"/>
  <c r="AH60" i="32"/>
  <c r="AG60" i="35"/>
  <c r="AF60" i="40"/>
  <c r="AF60" i="43"/>
  <c r="AF60" i="47"/>
  <c r="AC60" i="49"/>
  <c r="Z43" i="43"/>
  <c r="Z27" i="43"/>
  <c r="Z43" i="47"/>
  <c r="Z27" i="47"/>
  <c r="V60" i="32"/>
  <c r="W60" i="35"/>
  <c r="V60" i="40"/>
  <c r="V60" i="43"/>
  <c r="V60" i="47"/>
  <c r="AB43" i="45"/>
  <c r="AB27" i="45"/>
  <c r="AB27" i="49"/>
  <c r="AB43" i="49"/>
  <c r="X43" i="35"/>
  <c r="X27" i="35"/>
  <c r="W43" i="40"/>
  <c r="W27" i="40"/>
  <c r="W43" i="43"/>
  <c r="W27" i="43"/>
  <c r="W43" i="47"/>
  <c r="W27" i="47"/>
  <c r="AA43" i="45"/>
  <c r="AA27" i="45"/>
  <c r="AA43" i="49"/>
  <c r="AA27" i="49"/>
  <c r="X43" i="37"/>
  <c r="X27" i="37"/>
  <c r="X43" i="41"/>
  <c r="X27" i="41"/>
  <c r="X43" i="45"/>
  <c r="X27" i="45"/>
  <c r="X43" i="49"/>
  <c r="X27" i="49"/>
  <c r="Y60" i="47"/>
  <c r="AC43" i="47"/>
  <c r="AC27" i="47"/>
  <c r="V43" i="33"/>
  <c r="V27" i="33"/>
  <c r="V43" i="37"/>
  <c r="V47" i="37" s="1"/>
  <c r="V27" i="37"/>
  <c r="V43" i="41"/>
  <c r="V47" i="41" s="1"/>
  <c r="V27" i="41"/>
  <c r="V27" i="45"/>
  <c r="V43" i="45"/>
  <c r="V47" i="45" s="1"/>
  <c r="V43" i="49"/>
  <c r="V27" i="49"/>
  <c r="AB60" i="45"/>
  <c r="AB60" i="49"/>
  <c r="X60" i="35"/>
  <c r="W60" i="40"/>
  <c r="W60" i="43"/>
  <c r="W60" i="47"/>
  <c r="AA60" i="45"/>
  <c r="AA60" i="49"/>
  <c r="X60" i="37"/>
  <c r="X60" i="41"/>
  <c r="X60" i="45"/>
  <c r="X60" i="49"/>
  <c r="AD43" i="49"/>
  <c r="AD27" i="49"/>
  <c r="Y43" i="41"/>
  <c r="Y27" i="41"/>
  <c r="Y43" i="45"/>
  <c r="Y27" i="45"/>
  <c r="Y43" i="49"/>
  <c r="Y27" i="49"/>
  <c r="AF60" i="33"/>
  <c r="AF60" i="37"/>
  <c r="AF60" i="41"/>
  <c r="AF60" i="45"/>
  <c r="AF60" i="49"/>
  <c r="AC60" i="47"/>
  <c r="Z43" i="41"/>
  <c r="Z27" i="41"/>
  <c r="Z27" i="45"/>
  <c r="Z43" i="45"/>
  <c r="Z43" i="49"/>
  <c r="Z27" i="49"/>
  <c r="V60" i="33"/>
  <c r="V60" i="41"/>
  <c r="V60" i="49"/>
  <c r="AB43" i="47"/>
  <c r="AB27" i="47"/>
  <c r="W27" i="33"/>
  <c r="W43" i="33"/>
  <c r="W43" i="37"/>
  <c r="W27" i="37"/>
  <c r="W43" i="41"/>
  <c r="W27" i="41"/>
  <c r="W43" i="45"/>
  <c r="W27" i="45"/>
  <c r="W43" i="49"/>
  <c r="W27" i="49"/>
  <c r="AA43" i="43"/>
  <c r="AA27" i="43"/>
  <c r="AA43" i="47"/>
  <c r="AA27" i="47"/>
  <c r="X43" i="40"/>
  <c r="X27" i="40"/>
  <c r="X43" i="43"/>
  <c r="X27" i="43"/>
  <c r="X27" i="47"/>
  <c r="X43" i="47"/>
  <c r="Y60" i="41"/>
  <c r="Y60" i="45"/>
  <c r="Y60" i="49"/>
  <c r="AC43" i="49"/>
  <c r="AC27" i="49"/>
  <c r="Z60" i="41"/>
  <c r="Z60" i="45"/>
  <c r="Z60" i="49"/>
  <c r="V27" i="32"/>
  <c r="V43" i="32"/>
  <c r="W43" i="35"/>
  <c r="W27" i="35"/>
  <c r="V43" i="40"/>
  <c r="V47" i="40" s="1"/>
  <c r="V27" i="40"/>
  <c r="V43" i="43"/>
  <c r="V47" i="43" s="1"/>
  <c r="V27" i="43"/>
  <c r="V43" i="47"/>
  <c r="V47" i="47" s="1"/>
  <c r="V27" i="47"/>
  <c r="AB60" i="47"/>
  <c r="W60" i="33"/>
  <c r="W60" i="37"/>
  <c r="W60" i="41"/>
  <c r="W60" i="45"/>
  <c r="W60" i="49"/>
  <c r="AA60" i="43"/>
  <c r="AA60" i="47"/>
  <c r="X60" i="40"/>
  <c r="X60" i="43"/>
  <c r="X60" i="47"/>
  <c r="N43" i="28"/>
  <c r="AE60" i="49"/>
  <c r="AE27" i="49"/>
  <c r="AE60" i="33"/>
  <c r="AE60" i="37"/>
  <c r="AE60" i="41"/>
  <c r="AE27" i="33"/>
  <c r="AE27" i="37"/>
  <c r="AE27" i="41"/>
  <c r="AE27" i="45"/>
  <c r="AG60" i="32"/>
  <c r="AF60" i="35"/>
  <c r="AE60" i="40"/>
  <c r="AE60" i="43"/>
  <c r="AE60" i="47"/>
  <c r="AE60" i="45"/>
  <c r="AG27" i="32"/>
  <c r="AF27" i="35"/>
  <c r="AE27" i="40"/>
  <c r="AE27" i="43"/>
  <c r="AE27" i="47"/>
  <c r="AF27" i="32"/>
  <c r="AF43" i="32"/>
  <c r="AD43" i="43"/>
  <c r="AD27" i="43"/>
  <c r="AD60" i="47"/>
  <c r="AD60" i="33"/>
  <c r="AD60" i="37"/>
  <c r="AD60" i="41"/>
  <c r="AD60" i="45"/>
  <c r="AF60" i="32"/>
  <c r="AE60" i="35"/>
  <c r="AD60" i="40"/>
  <c r="AD60" i="43"/>
  <c r="AE43" i="35"/>
  <c r="AE27" i="35"/>
  <c r="AD27" i="40"/>
  <c r="AD43" i="40"/>
  <c r="AD43" i="47"/>
  <c r="AD27" i="47"/>
  <c r="AD43" i="33"/>
  <c r="AD27" i="33"/>
  <c r="AD43" i="37"/>
  <c r="AD27" i="37"/>
  <c r="AD43" i="41"/>
  <c r="AD27" i="41"/>
  <c r="AD43" i="45"/>
  <c r="AD27" i="45"/>
  <c r="AD60" i="35"/>
  <c r="AC60" i="43"/>
  <c r="AC43" i="33"/>
  <c r="AC27" i="33"/>
  <c r="AC43" i="37"/>
  <c r="AC27" i="37"/>
  <c r="AC43" i="45"/>
  <c r="AC27" i="45"/>
  <c r="AC60" i="45"/>
  <c r="AC27" i="41"/>
  <c r="AC43" i="41"/>
  <c r="AE43" i="32"/>
  <c r="AE27" i="32"/>
  <c r="AD43" i="35"/>
  <c r="AD27" i="35"/>
  <c r="AC43" i="40"/>
  <c r="AC27" i="40"/>
  <c r="AC27" i="43"/>
  <c r="AC43" i="43"/>
  <c r="AB60" i="33"/>
  <c r="AB60" i="41"/>
  <c r="AD60" i="32"/>
  <c r="AC60" i="35"/>
  <c r="AB60" i="40"/>
  <c r="AB60" i="43"/>
  <c r="AD43" i="32"/>
  <c r="AD27" i="32"/>
  <c r="AC27" i="35"/>
  <c r="AC43" i="35"/>
  <c r="AB43" i="40"/>
  <c r="AB27" i="40"/>
  <c r="AB27" i="43"/>
  <c r="AB43" i="43"/>
  <c r="AB27" i="33"/>
  <c r="AB43" i="33"/>
  <c r="AB43" i="37"/>
  <c r="AB27" i="37"/>
  <c r="AB43" i="41"/>
  <c r="AB27" i="41"/>
  <c r="AC60" i="32"/>
  <c r="AB60" i="35"/>
  <c r="AA60" i="40"/>
  <c r="AA60" i="33"/>
  <c r="AA60" i="41"/>
  <c r="AA27" i="33"/>
  <c r="AA43" i="33"/>
  <c r="AA43" i="37"/>
  <c r="AA27" i="37"/>
  <c r="AA43" i="41"/>
  <c r="AA27" i="41"/>
  <c r="AC43" i="32"/>
  <c r="AC27" i="32"/>
  <c r="AB43" i="35"/>
  <c r="AB27" i="35"/>
  <c r="AA43" i="40"/>
  <c r="AA27" i="40"/>
  <c r="M43" i="22"/>
  <c r="M44" i="22" s="1"/>
  <c r="AA60" i="35"/>
  <c r="Z60" i="33"/>
  <c r="Z60" i="37"/>
  <c r="Z60" i="40"/>
  <c r="AA43" i="35"/>
  <c r="AA27" i="35"/>
  <c r="AB27" i="32"/>
  <c r="AB43" i="32"/>
  <c r="Z27" i="40"/>
  <c r="Z43" i="40"/>
  <c r="Z43" i="33"/>
  <c r="Z27" i="33"/>
  <c r="Z27" i="37"/>
  <c r="Z43" i="37"/>
  <c r="Z60" i="35"/>
  <c r="Y60" i="37"/>
  <c r="Y43" i="33"/>
  <c r="Y27" i="33"/>
  <c r="Y43" i="37"/>
  <c r="Y27" i="37"/>
  <c r="AA43" i="32"/>
  <c r="AA27" i="32"/>
  <c r="Z27" i="35"/>
  <c r="Z43" i="35"/>
  <c r="M43" i="24"/>
  <c r="M44" i="24" s="1"/>
  <c r="M43" i="20"/>
  <c r="M44" i="20" s="1"/>
  <c r="Z60" i="32"/>
  <c r="Y60" i="35"/>
  <c r="Y27" i="35"/>
  <c r="Y43" i="35"/>
  <c r="X60" i="33"/>
  <c r="Z27" i="32"/>
  <c r="Z43" i="32"/>
  <c r="X27" i="33"/>
  <c r="X43" i="33"/>
  <c r="Y60" i="32"/>
  <c r="Y27" i="32"/>
  <c r="Y43" i="32"/>
  <c r="M43" i="21"/>
  <c r="M44" i="21" s="1"/>
  <c r="AC43" i="17"/>
  <c r="AE27" i="17"/>
  <c r="Y43" i="17"/>
  <c r="AF60" i="17"/>
  <c r="AF27" i="17"/>
  <c r="C62" i="29"/>
  <c r="AE60" i="17"/>
  <c r="AD27" i="17"/>
  <c r="AD43" i="17"/>
  <c r="AD60" i="17"/>
  <c r="AC60" i="17"/>
  <c r="AC27" i="17"/>
  <c r="C60" i="26"/>
  <c r="AB43" i="17"/>
  <c r="AB27" i="17"/>
  <c r="AB60" i="17"/>
  <c r="AA27" i="17"/>
  <c r="AA43" i="17"/>
  <c r="AA60" i="17"/>
  <c r="Z27" i="17"/>
  <c r="Z43" i="17"/>
  <c r="Z60" i="17"/>
  <c r="Y60" i="17"/>
  <c r="M43" i="23"/>
  <c r="J51" i="23" s="1"/>
  <c r="I17" i="30" s="1"/>
  <c r="Y27" i="17"/>
  <c r="X43" i="17"/>
  <c r="X27" i="17"/>
  <c r="X60" i="17"/>
  <c r="W27" i="17"/>
  <c r="W43" i="17"/>
  <c r="W60" i="17"/>
  <c r="V60" i="17"/>
  <c r="M43" i="19"/>
  <c r="M44" i="19" s="1"/>
  <c r="V27" i="17"/>
  <c r="V43" i="17"/>
  <c r="K53" i="28"/>
  <c r="N28" i="28"/>
  <c r="M29" i="28"/>
  <c r="H7" i="27"/>
  <c r="J7" i="27" s="1"/>
  <c r="J14" i="27" s="1"/>
  <c r="H53" i="27"/>
  <c r="C58" i="27"/>
  <c r="C60" i="27" s="1"/>
  <c r="C62" i="27" s="1"/>
  <c r="H9" i="27"/>
  <c r="C1" i="23"/>
  <c r="F1" i="23" s="1"/>
  <c r="C58" i="23"/>
  <c r="C60" i="23" s="1"/>
  <c r="C62" i="23" s="1"/>
  <c r="H9" i="23"/>
  <c r="M29" i="22"/>
  <c r="K53" i="27"/>
  <c r="N20" i="30" s="1"/>
  <c r="I32" i="19"/>
  <c r="K51" i="29"/>
  <c r="I44" i="26"/>
  <c r="H7" i="20"/>
  <c r="J7" i="20" s="1"/>
  <c r="J14" i="20" s="1"/>
  <c r="C60" i="20"/>
  <c r="C62" i="20" s="1"/>
  <c r="C60" i="24"/>
  <c r="C62" i="24" s="1"/>
  <c r="I33" i="27"/>
  <c r="K51" i="20"/>
  <c r="H20" i="30" s="1"/>
  <c r="I51" i="22"/>
  <c r="K51" i="25"/>
  <c r="L20" i="30" s="1"/>
  <c r="M29" i="19"/>
  <c r="K5" i="29"/>
  <c r="L5" i="29" s="1"/>
  <c r="M29" i="26"/>
  <c r="C60" i="21"/>
  <c r="C62" i="21" s="1"/>
  <c r="M29" i="23"/>
  <c r="I33" i="28"/>
  <c r="C60" i="25"/>
  <c r="C62" i="25" s="1"/>
  <c r="I32" i="21"/>
  <c r="I44" i="21"/>
  <c r="H51" i="21"/>
  <c r="C58" i="19"/>
  <c r="C60" i="19" s="1"/>
  <c r="C62" i="19" s="1"/>
  <c r="K5" i="28"/>
  <c r="L5" i="28" s="1"/>
  <c r="K5" i="20"/>
  <c r="L5" i="20" s="1"/>
  <c r="I32" i="20"/>
  <c r="K5" i="23"/>
  <c r="L5" i="23" s="1"/>
  <c r="H7" i="26"/>
  <c r="J7" i="26" s="1"/>
  <c r="I7" i="28"/>
  <c r="I14" i="28" s="1"/>
  <c r="I52" i="28" s="1"/>
  <c r="I55" i="28" s="1"/>
  <c r="AE7" i="50" s="1"/>
  <c r="I51" i="26"/>
  <c r="J59" i="26" s="1"/>
  <c r="K5" i="27"/>
  <c r="L5" i="27" s="1"/>
  <c r="H9" i="22"/>
  <c r="H12" i="22" s="1"/>
  <c r="C60" i="22"/>
  <c r="C62" i="22" s="1"/>
  <c r="K51" i="21"/>
  <c r="G20" i="30" s="1"/>
  <c r="C60" i="28"/>
  <c r="C62" i="28" s="1"/>
  <c r="I32" i="25"/>
  <c r="H7" i="22"/>
  <c r="I7" i="22" s="1"/>
  <c r="I14" i="22" s="1"/>
  <c r="I50" i="22" s="1"/>
  <c r="I51" i="23"/>
  <c r="M29" i="24"/>
  <c r="M43" i="27"/>
  <c r="I66" i="27" s="1"/>
  <c r="I44" i="29"/>
  <c r="H51" i="29"/>
  <c r="I32" i="29"/>
  <c r="I46" i="27"/>
  <c r="K5" i="25"/>
  <c r="L5" i="25" s="1"/>
  <c r="I51" i="24"/>
  <c r="K5" i="22"/>
  <c r="L5" i="22" s="1"/>
  <c r="K5" i="21"/>
  <c r="L5" i="21" s="1"/>
  <c r="J53" i="28"/>
  <c r="M44" i="28"/>
  <c r="H9" i="28"/>
  <c r="M44" i="25"/>
  <c r="J51" i="25"/>
  <c r="L17" i="30" s="1"/>
  <c r="H9" i="26"/>
  <c r="C62" i="26"/>
  <c r="J14" i="28"/>
  <c r="K52" i="28" s="1"/>
  <c r="H9" i="25"/>
  <c r="M44" i="26"/>
  <c r="K5" i="26"/>
  <c r="L5" i="26" s="1"/>
  <c r="M44" i="29"/>
  <c r="J51" i="29"/>
  <c r="I7" i="29"/>
  <c r="I14" i="29" s="1"/>
  <c r="I50" i="29" s="1"/>
  <c r="J7" i="29"/>
  <c r="J51" i="24"/>
  <c r="K17" i="30" s="1"/>
  <c r="I46" i="28"/>
  <c r="H53" i="28"/>
  <c r="H51" i="25"/>
  <c r="I44" i="25"/>
  <c r="J7" i="24"/>
  <c r="I7" i="24"/>
  <c r="I14" i="24" s="1"/>
  <c r="I50" i="24" s="1"/>
  <c r="I44" i="24"/>
  <c r="H51" i="24"/>
  <c r="G45" i="24"/>
  <c r="K5" i="24"/>
  <c r="L5" i="24" s="1"/>
  <c r="H9" i="29"/>
  <c r="H9" i="24"/>
  <c r="I7" i="25"/>
  <c r="I14" i="25" s="1"/>
  <c r="I50" i="25" s="1"/>
  <c r="J7" i="25"/>
  <c r="I44" i="22"/>
  <c r="H51" i="22"/>
  <c r="I7" i="23"/>
  <c r="I14" i="23" s="1"/>
  <c r="I50" i="23" s="1"/>
  <c r="J7" i="23"/>
  <c r="J51" i="22"/>
  <c r="J17" i="30" s="1"/>
  <c r="M44" i="23"/>
  <c r="H51" i="23"/>
  <c r="I44" i="23"/>
  <c r="I44" i="20"/>
  <c r="H51" i="20"/>
  <c r="I7" i="21"/>
  <c r="I14" i="21" s="1"/>
  <c r="J7" i="21"/>
  <c r="H9" i="20"/>
  <c r="J51" i="21"/>
  <c r="G17" i="30" s="1"/>
  <c r="H9" i="21"/>
  <c r="G45" i="19"/>
  <c r="K5" i="19"/>
  <c r="L5" i="19" s="1"/>
  <c r="L9" i="19" s="1"/>
  <c r="L12" i="19" s="1"/>
  <c r="J7" i="19"/>
  <c r="I7" i="19"/>
  <c r="I14" i="19" s="1"/>
  <c r="H12" i="19"/>
  <c r="J51" i="19"/>
  <c r="F17" i="30" s="1"/>
  <c r="I44" i="19"/>
  <c r="L53" i="28" l="1"/>
  <c r="D43" i="17"/>
  <c r="X43" i="32"/>
  <c r="V44" i="32"/>
  <c r="V47" i="32"/>
  <c r="V49" i="32" s="1"/>
  <c r="AN45" i="32"/>
  <c r="AM45" i="33"/>
  <c r="AL45" i="33"/>
  <c r="AM45" i="41"/>
  <c r="AL45" i="41"/>
  <c r="V49" i="47"/>
  <c r="W42" i="47"/>
  <c r="W47" i="47" s="1"/>
  <c r="V49" i="40"/>
  <c r="W42" i="40"/>
  <c r="W47" i="40" s="1"/>
  <c r="C43" i="49"/>
  <c r="V47" i="49"/>
  <c r="V49" i="41"/>
  <c r="W42" i="41"/>
  <c r="W47" i="41" s="1"/>
  <c r="AM45" i="49"/>
  <c r="AL45" i="49"/>
  <c r="V49" i="45"/>
  <c r="W42" i="45"/>
  <c r="W47" i="45" s="1"/>
  <c r="AL45" i="37"/>
  <c r="AM45" i="37"/>
  <c r="AM45" i="45"/>
  <c r="AL45" i="45"/>
  <c r="J59" i="19"/>
  <c r="V49" i="43"/>
  <c r="W42" i="43"/>
  <c r="W47" i="43" s="1"/>
  <c r="AL45" i="43"/>
  <c r="AM45" i="43"/>
  <c r="V49" i="37"/>
  <c r="W42" i="37"/>
  <c r="W47" i="37" s="1"/>
  <c r="AM45" i="47"/>
  <c r="AL45" i="47"/>
  <c r="AM45" i="40"/>
  <c r="AL45" i="40"/>
  <c r="K55" i="28"/>
  <c r="AE7" i="16"/>
  <c r="AE7" i="48"/>
  <c r="AE7" i="46"/>
  <c r="AE7" i="44"/>
  <c r="AE7" i="42"/>
  <c r="AE7" i="39"/>
  <c r="AE7" i="38"/>
  <c r="AF7" i="36"/>
  <c r="AE7" i="34"/>
  <c r="C43" i="47"/>
  <c r="C43" i="45"/>
  <c r="C43" i="43"/>
  <c r="C43" i="41"/>
  <c r="C43" i="40"/>
  <c r="C43" i="37"/>
  <c r="J51" i="20"/>
  <c r="H17" i="30" s="1"/>
  <c r="Y44" i="32"/>
  <c r="Y47" i="32" s="1"/>
  <c r="AL45" i="17"/>
  <c r="AM45" i="17"/>
  <c r="I7" i="27"/>
  <c r="I14" i="27" s="1"/>
  <c r="I52" i="27" s="1"/>
  <c r="I55" i="27" s="1"/>
  <c r="AD7" i="50" s="1"/>
  <c r="N22" i="30"/>
  <c r="K52" i="27"/>
  <c r="K55" i="27" s="1"/>
  <c r="AD7" i="49" s="1"/>
  <c r="K50" i="20"/>
  <c r="K53" i="20" s="1"/>
  <c r="H22" i="30"/>
  <c r="G8" i="30"/>
  <c r="K8" i="30"/>
  <c r="J8" i="30"/>
  <c r="N8" i="30"/>
  <c r="I8" i="30"/>
  <c r="M8" i="30"/>
  <c r="H8" i="30"/>
  <c r="L8" i="30"/>
  <c r="I53" i="23"/>
  <c r="I7" i="26"/>
  <c r="I14" i="26" s="1"/>
  <c r="I50" i="26" s="1"/>
  <c r="I53" i="26" s="1"/>
  <c r="C1" i="22"/>
  <c r="C1" i="24" s="1"/>
  <c r="L9" i="22"/>
  <c r="L12" i="22" s="1"/>
  <c r="L14" i="22" s="1"/>
  <c r="J19" i="30" s="1"/>
  <c r="J15" i="28"/>
  <c r="I7" i="20"/>
  <c r="I14" i="20" s="1"/>
  <c r="I50" i="20" s="1"/>
  <c r="I53" i="20" s="1"/>
  <c r="I50" i="19"/>
  <c r="I53" i="19" s="1"/>
  <c r="F13" i="30"/>
  <c r="I50" i="21"/>
  <c r="I53" i="21" s="1"/>
  <c r="G13" i="30"/>
  <c r="J7" i="22"/>
  <c r="J15" i="22" s="1"/>
  <c r="L51" i="26"/>
  <c r="L51" i="21"/>
  <c r="J59" i="21"/>
  <c r="I53" i="25"/>
  <c r="I53" i="22"/>
  <c r="I53" i="24"/>
  <c r="I53" i="29"/>
  <c r="AF7" i="50" s="1"/>
  <c r="M44" i="27"/>
  <c r="J53" i="27"/>
  <c r="N17" i="30" s="1"/>
  <c r="J59" i="29"/>
  <c r="K9" i="22"/>
  <c r="K12" i="22" s="1"/>
  <c r="K14" i="22" s="1"/>
  <c r="K9" i="19"/>
  <c r="K12" i="19" s="1"/>
  <c r="K9" i="26"/>
  <c r="K12" i="26" s="1"/>
  <c r="H12" i="26"/>
  <c r="L9" i="26"/>
  <c r="L12" i="26" s="1"/>
  <c r="H12" i="28"/>
  <c r="L9" i="28"/>
  <c r="L12" i="28" s="1"/>
  <c r="K9" i="28"/>
  <c r="K12" i="28" s="1"/>
  <c r="J14" i="26"/>
  <c r="J59" i="24"/>
  <c r="L51" i="24"/>
  <c r="H12" i="24"/>
  <c r="L9" i="24"/>
  <c r="L12" i="24" s="1"/>
  <c r="K9" i="24"/>
  <c r="K12" i="24" s="1"/>
  <c r="L51" i="25"/>
  <c r="J59" i="25"/>
  <c r="J14" i="24"/>
  <c r="J15" i="24"/>
  <c r="K9" i="27"/>
  <c r="K12" i="27" s="1"/>
  <c r="H12" i="27"/>
  <c r="L9" i="27"/>
  <c r="L12" i="27" s="1"/>
  <c r="L51" i="29"/>
  <c r="J15" i="25"/>
  <c r="J14" i="25"/>
  <c r="K9" i="29"/>
  <c r="K12" i="29" s="1"/>
  <c r="H12" i="29"/>
  <c r="L9" i="29"/>
  <c r="L12" i="29" s="1"/>
  <c r="J61" i="28"/>
  <c r="J15" i="29"/>
  <c r="J14" i="29"/>
  <c r="K50" i="29" s="1"/>
  <c r="K53" i="29" s="1"/>
  <c r="AF7" i="49" s="1"/>
  <c r="K9" i="25"/>
  <c r="K12" i="25" s="1"/>
  <c r="H12" i="25"/>
  <c r="L9" i="25"/>
  <c r="L12" i="25" s="1"/>
  <c r="J59" i="22"/>
  <c r="L51" i="22"/>
  <c r="K9" i="23"/>
  <c r="K12" i="23" s="1"/>
  <c r="H12" i="23"/>
  <c r="L9" i="23"/>
  <c r="L12" i="23" s="1"/>
  <c r="H14" i="22"/>
  <c r="H15" i="22" s="1"/>
  <c r="L51" i="23"/>
  <c r="J59" i="23"/>
  <c r="J15" i="23"/>
  <c r="J14" i="23"/>
  <c r="H12" i="20"/>
  <c r="L9" i="20"/>
  <c r="L12" i="20" s="1"/>
  <c r="K9" i="20"/>
  <c r="K12" i="20" s="1"/>
  <c r="K9" i="21"/>
  <c r="K12" i="21" s="1"/>
  <c r="H12" i="21"/>
  <c r="L9" i="21"/>
  <c r="L12" i="21" s="1"/>
  <c r="J15" i="21"/>
  <c r="J14" i="21"/>
  <c r="J50" i="19"/>
  <c r="L14" i="19"/>
  <c r="F19" i="30" s="1"/>
  <c r="J15" i="19"/>
  <c r="J14" i="19"/>
  <c r="L51" i="19"/>
  <c r="H14" i="19"/>
  <c r="H15" i="19" s="1"/>
  <c r="Z7" i="50" l="1"/>
  <c r="Z7" i="48"/>
  <c r="Z7" i="46"/>
  <c r="Z7" i="44"/>
  <c r="Z7" i="42"/>
  <c r="W49" i="43"/>
  <c r="X42" i="43"/>
  <c r="W49" i="45"/>
  <c r="X42" i="45"/>
  <c r="AB7" i="50"/>
  <c r="AB7" i="48"/>
  <c r="AB7" i="46"/>
  <c r="V7" i="16"/>
  <c r="V7" i="50"/>
  <c r="V7" i="48"/>
  <c r="V7" i="46"/>
  <c r="V7" i="44"/>
  <c r="V7" i="42"/>
  <c r="V7" i="39"/>
  <c r="V7" i="38"/>
  <c r="W7" i="36"/>
  <c r="V7" i="34"/>
  <c r="X7" i="49"/>
  <c r="X7" i="47"/>
  <c r="X7" i="45"/>
  <c r="X7" i="43"/>
  <c r="X7" i="41"/>
  <c r="X7" i="40"/>
  <c r="X7" i="37"/>
  <c r="AE7" i="49"/>
  <c r="AE7" i="17"/>
  <c r="V49" i="49"/>
  <c r="W42" i="49"/>
  <c r="W47" i="49" s="1"/>
  <c r="W49" i="47"/>
  <c r="X42" i="47"/>
  <c r="X7" i="50"/>
  <c r="X7" i="48"/>
  <c r="X7" i="46"/>
  <c r="X7" i="44"/>
  <c r="X7" i="42"/>
  <c r="X7" i="39"/>
  <c r="X7" i="38"/>
  <c r="AC7" i="50"/>
  <c r="AC7" i="48"/>
  <c r="X42" i="37"/>
  <c r="W49" i="37"/>
  <c r="X44" i="32"/>
  <c r="X47" i="32" s="1"/>
  <c r="AO42" i="32"/>
  <c r="AO48" i="32" s="1"/>
  <c r="AA7" i="50"/>
  <c r="AA7" i="48"/>
  <c r="AA7" i="46"/>
  <c r="AA7" i="44"/>
  <c r="W7" i="16"/>
  <c r="W7" i="50"/>
  <c r="W7" i="48"/>
  <c r="W7" i="46"/>
  <c r="W7" i="44"/>
  <c r="W7" i="42"/>
  <c r="W7" i="39"/>
  <c r="W7" i="38"/>
  <c r="X7" i="36"/>
  <c r="W7" i="34"/>
  <c r="Y7" i="38"/>
  <c r="Y7" i="50"/>
  <c r="Y7" i="48"/>
  <c r="Y7" i="46"/>
  <c r="Y7" i="44"/>
  <c r="Y7" i="42"/>
  <c r="Y7" i="39"/>
  <c r="X42" i="41"/>
  <c r="W49" i="41"/>
  <c r="X42" i="40"/>
  <c r="W49" i="40"/>
  <c r="L53" i="27"/>
  <c r="AG7" i="32"/>
  <c r="AE7" i="47"/>
  <c r="AE7" i="43"/>
  <c r="AE7" i="40"/>
  <c r="AF7" i="35"/>
  <c r="AE7" i="37"/>
  <c r="AE7" i="45"/>
  <c r="AE7" i="33"/>
  <c r="AE7" i="41"/>
  <c r="AF7" i="17"/>
  <c r="AF7" i="47"/>
  <c r="AF7" i="45"/>
  <c r="AF7" i="43"/>
  <c r="AF7" i="41"/>
  <c r="AF7" i="40"/>
  <c r="AF7" i="37"/>
  <c r="AG7" i="35"/>
  <c r="AF7" i="33"/>
  <c r="AH7" i="32"/>
  <c r="AF7" i="16"/>
  <c r="AF7" i="48"/>
  <c r="AF7" i="46"/>
  <c r="AF7" i="44"/>
  <c r="AF7" i="42"/>
  <c r="AF7" i="39"/>
  <c r="AF7" i="38"/>
  <c r="AG7" i="36"/>
  <c r="AF7" i="34"/>
  <c r="AD7" i="48"/>
  <c r="C7" i="48" s="1"/>
  <c r="AD7" i="46"/>
  <c r="AD7" i="44"/>
  <c r="AD7" i="42"/>
  <c r="AD7" i="39"/>
  <c r="AD7" i="38"/>
  <c r="AD7" i="47"/>
  <c r="AD7" i="45"/>
  <c r="AD7" i="43"/>
  <c r="AD7" i="41"/>
  <c r="AD7" i="40"/>
  <c r="AD7" i="37"/>
  <c r="AC7" i="46"/>
  <c r="AC7" i="44"/>
  <c r="AC7" i="42"/>
  <c r="AC7" i="39"/>
  <c r="AC7" i="38"/>
  <c r="AB7" i="44"/>
  <c r="AB7" i="42"/>
  <c r="AB7" i="39"/>
  <c r="AB7" i="38"/>
  <c r="AA7" i="42"/>
  <c r="AA7" i="39"/>
  <c r="AA7" i="38"/>
  <c r="Z7" i="39"/>
  <c r="Z7" i="38"/>
  <c r="AD7" i="16"/>
  <c r="AE7" i="36"/>
  <c r="AD7" i="34"/>
  <c r="AC7" i="16"/>
  <c r="AD7" i="36"/>
  <c r="AC7" i="34"/>
  <c r="AB7" i="16"/>
  <c r="AC7" i="36"/>
  <c r="AB7" i="34"/>
  <c r="AA7" i="16"/>
  <c r="AB7" i="36"/>
  <c r="AA7" i="34"/>
  <c r="Z7" i="16"/>
  <c r="AA7" i="36"/>
  <c r="Z7" i="34"/>
  <c r="Y7" i="16"/>
  <c r="Z7" i="36"/>
  <c r="Y7" i="34"/>
  <c r="AE7" i="35"/>
  <c r="AD7" i="33"/>
  <c r="J59" i="20"/>
  <c r="L51" i="20"/>
  <c r="Y7" i="35"/>
  <c r="X7" i="33"/>
  <c r="X7" i="16"/>
  <c r="Y7" i="36"/>
  <c r="X7" i="34"/>
  <c r="AD7" i="17"/>
  <c r="AF7" i="32"/>
  <c r="J15" i="27"/>
  <c r="M4" i="31"/>
  <c r="X7" i="17"/>
  <c r="Z7" i="32"/>
  <c r="Z42" i="32"/>
  <c r="Z44" i="32" s="1"/>
  <c r="Z47" i="32" s="1"/>
  <c r="Y49" i="32"/>
  <c r="M11" i="31"/>
  <c r="L4" i="31"/>
  <c r="K50" i="26"/>
  <c r="K53" i="26" s="1"/>
  <c r="M22" i="30"/>
  <c r="K50" i="25"/>
  <c r="K53" i="25" s="1"/>
  <c r="L22" i="30"/>
  <c r="K4" i="31"/>
  <c r="J4" i="31"/>
  <c r="K50" i="24"/>
  <c r="K53" i="24" s="1"/>
  <c r="K22" i="30"/>
  <c r="I4" i="31"/>
  <c r="K50" i="23"/>
  <c r="K53" i="23" s="1"/>
  <c r="I22" i="30"/>
  <c r="H4" i="31"/>
  <c r="G11" i="31"/>
  <c r="G4" i="31"/>
  <c r="F4" i="31"/>
  <c r="E4" i="31"/>
  <c r="J15" i="26"/>
  <c r="F1" i="22"/>
  <c r="J50" i="22"/>
  <c r="J53" i="22" s="1"/>
  <c r="J14" i="22"/>
  <c r="J15" i="20"/>
  <c r="K50" i="19"/>
  <c r="K53" i="19" s="1"/>
  <c r="F22" i="30"/>
  <c r="K50" i="21"/>
  <c r="K53" i="21" s="1"/>
  <c r="G22" i="30"/>
  <c r="H50" i="22"/>
  <c r="H53" i="22" s="1"/>
  <c r="C1" i="25"/>
  <c r="F1" i="24"/>
  <c r="J53" i="19"/>
  <c r="V6" i="49" s="1"/>
  <c r="K14" i="19"/>
  <c r="H50" i="19"/>
  <c r="H53" i="19" s="1"/>
  <c r="V6" i="50" s="1"/>
  <c r="J61" i="27"/>
  <c r="L15" i="22"/>
  <c r="H14" i="29"/>
  <c r="H15" i="29" s="1"/>
  <c r="H50" i="26"/>
  <c r="H53" i="26" s="1"/>
  <c r="K14" i="26"/>
  <c r="J50" i="29"/>
  <c r="J53" i="29" s="1"/>
  <c r="L14" i="29"/>
  <c r="H52" i="27"/>
  <c r="K14" i="27"/>
  <c r="H52" i="28"/>
  <c r="K14" i="28"/>
  <c r="H14" i="26"/>
  <c r="H15" i="26" s="1"/>
  <c r="J50" i="25"/>
  <c r="J53" i="25" s="1"/>
  <c r="L14" i="25"/>
  <c r="L19" i="30" s="1"/>
  <c r="K14" i="25"/>
  <c r="H50" i="25"/>
  <c r="H53" i="25" s="1"/>
  <c r="H14" i="27"/>
  <c r="H15" i="27" s="1"/>
  <c r="H14" i="24"/>
  <c r="H15" i="24" s="1"/>
  <c r="J50" i="26"/>
  <c r="J53" i="26" s="1"/>
  <c r="L14" i="26"/>
  <c r="M19" i="30" s="1"/>
  <c r="H50" i="24"/>
  <c r="H53" i="24" s="1"/>
  <c r="K14" i="24"/>
  <c r="J52" i="28"/>
  <c r="J55" i="28" s="1"/>
  <c r="AE6" i="17" s="1"/>
  <c r="L14" i="28"/>
  <c r="H14" i="25"/>
  <c r="H15" i="25" s="1"/>
  <c r="K14" i="29"/>
  <c r="H50" i="29"/>
  <c r="H53" i="29" s="1"/>
  <c r="J52" i="27"/>
  <c r="J55" i="27" s="1"/>
  <c r="AD6" i="49" s="1"/>
  <c r="L14" i="27"/>
  <c r="J50" i="24"/>
  <c r="J53" i="24" s="1"/>
  <c r="L14" i="24"/>
  <c r="K19" i="30" s="1"/>
  <c r="H14" i="28"/>
  <c r="H15" i="28" s="1"/>
  <c r="K14" i="23"/>
  <c r="H50" i="23"/>
  <c r="H53" i="23" s="1"/>
  <c r="H14" i="23"/>
  <c r="H15" i="23" s="1"/>
  <c r="J50" i="23"/>
  <c r="J53" i="23" s="1"/>
  <c r="L14" i="23"/>
  <c r="I19" i="30" s="1"/>
  <c r="H14" i="21"/>
  <c r="H15" i="21" s="1"/>
  <c r="H14" i="20"/>
  <c r="H15" i="20" s="1"/>
  <c r="J50" i="21"/>
  <c r="J53" i="21" s="1"/>
  <c r="L14" i="21"/>
  <c r="G19" i="30" s="1"/>
  <c r="J50" i="20"/>
  <c r="J53" i="20" s="1"/>
  <c r="L14" i="20"/>
  <c r="H19" i="30" s="1"/>
  <c r="H50" i="20"/>
  <c r="H53" i="20" s="1"/>
  <c r="K14" i="20"/>
  <c r="K14" i="21"/>
  <c r="G10" i="30" s="1"/>
  <c r="H50" i="21"/>
  <c r="H53" i="21" s="1"/>
  <c r="X6" i="49" l="1"/>
  <c r="X6" i="47"/>
  <c r="X6" i="45"/>
  <c r="X6" i="43"/>
  <c r="X6" i="41"/>
  <c r="X6" i="40"/>
  <c r="X6" i="37"/>
  <c r="AA6" i="49"/>
  <c r="AA6" i="47"/>
  <c r="AA6" i="45"/>
  <c r="AA6" i="43"/>
  <c r="AA6" i="50"/>
  <c r="AA6" i="48"/>
  <c r="AA6" i="46"/>
  <c r="AA6" i="44"/>
  <c r="AB6" i="49"/>
  <c r="AB6" i="47"/>
  <c r="AB6" i="45"/>
  <c r="W7" i="49"/>
  <c r="W7" i="47"/>
  <c r="W7" i="45"/>
  <c r="W7" i="43"/>
  <c r="W7" i="41"/>
  <c r="W7" i="40"/>
  <c r="W7" i="37"/>
  <c r="X7" i="35"/>
  <c r="W7" i="33"/>
  <c r="X44" i="47"/>
  <c r="X47" i="47" s="1"/>
  <c r="X6" i="50"/>
  <c r="X6" i="48"/>
  <c r="X6" i="46"/>
  <c r="X6" i="44"/>
  <c r="X6" i="42"/>
  <c r="X6" i="39"/>
  <c r="X6" i="38"/>
  <c r="Y6" i="32"/>
  <c r="W6" i="49"/>
  <c r="W6" i="47"/>
  <c r="W6" i="45"/>
  <c r="W6" i="43"/>
  <c r="W6" i="41"/>
  <c r="W6" i="40"/>
  <c r="W6" i="37"/>
  <c r="X6" i="35"/>
  <c r="W6" i="33"/>
  <c r="Y6" i="37"/>
  <c r="Y6" i="49"/>
  <c r="Y6" i="47"/>
  <c r="Y6" i="45"/>
  <c r="Y6" i="43"/>
  <c r="Y6" i="41"/>
  <c r="Y6" i="40"/>
  <c r="AM8" i="49"/>
  <c r="AL8" i="49"/>
  <c r="AB6" i="50"/>
  <c r="AB6" i="48"/>
  <c r="AB6" i="46"/>
  <c r="AC6" i="50"/>
  <c r="AC6" i="48"/>
  <c r="Z6" i="49"/>
  <c r="Z6" i="47"/>
  <c r="Z6" i="45"/>
  <c r="Z6" i="43"/>
  <c r="Z6" i="41"/>
  <c r="AA7" i="49"/>
  <c r="AA7" i="47"/>
  <c r="AA7" i="45"/>
  <c r="AA7" i="43"/>
  <c r="AB7" i="49"/>
  <c r="AB7" i="47"/>
  <c r="AB7" i="45"/>
  <c r="X44" i="41"/>
  <c r="X47" i="41"/>
  <c r="C7" i="50"/>
  <c r="X44" i="43"/>
  <c r="X47" i="43"/>
  <c r="AF6" i="16"/>
  <c r="AF6" i="50"/>
  <c r="AF6" i="48"/>
  <c r="AF6" i="46"/>
  <c r="AF6" i="44"/>
  <c r="AF6" i="42"/>
  <c r="AF6" i="39"/>
  <c r="AF6" i="38"/>
  <c r="AG6" i="36"/>
  <c r="AF6" i="34"/>
  <c r="AC6" i="49"/>
  <c r="AC6" i="47"/>
  <c r="Z6" i="50"/>
  <c r="Z6" i="48"/>
  <c r="Z6" i="46"/>
  <c r="Z6" i="44"/>
  <c r="Z6" i="42"/>
  <c r="V7" i="17"/>
  <c r="V7" i="49"/>
  <c r="V7" i="47"/>
  <c r="V7" i="45"/>
  <c r="V7" i="43"/>
  <c r="V7" i="41"/>
  <c r="V7" i="40"/>
  <c r="V7" i="37"/>
  <c r="W7" i="35"/>
  <c r="V7" i="33"/>
  <c r="V7" i="32"/>
  <c r="X7" i="32" s="1"/>
  <c r="Y7" i="37"/>
  <c r="Y7" i="49"/>
  <c r="Y7" i="47"/>
  <c r="Y7" i="45"/>
  <c r="Y7" i="43"/>
  <c r="Y7" i="41"/>
  <c r="Y7" i="40"/>
  <c r="X44" i="37"/>
  <c r="X47" i="37" s="1"/>
  <c r="W49" i="49"/>
  <c r="X42" i="49"/>
  <c r="D7" i="16"/>
  <c r="W6" i="50"/>
  <c r="W6" i="48"/>
  <c r="W6" i="46"/>
  <c r="W6" i="44"/>
  <c r="W6" i="42"/>
  <c r="W6" i="39"/>
  <c r="W6" i="38"/>
  <c r="X6" i="36"/>
  <c r="W6" i="34"/>
  <c r="Y6" i="38"/>
  <c r="Y6" i="50"/>
  <c r="Y6" i="48"/>
  <c r="Y6" i="46"/>
  <c r="Y6" i="44"/>
  <c r="Y6" i="42"/>
  <c r="Y6" i="39"/>
  <c r="L52" i="28"/>
  <c r="L54" i="28" s="1"/>
  <c r="AF6" i="17"/>
  <c r="AF6" i="49"/>
  <c r="AF6" i="47"/>
  <c r="AF6" i="45"/>
  <c r="AF6" i="43"/>
  <c r="AF6" i="41"/>
  <c r="AF6" i="40"/>
  <c r="AF6" i="37"/>
  <c r="AG6" i="35"/>
  <c r="AF6" i="33"/>
  <c r="AH6" i="32"/>
  <c r="AC7" i="49"/>
  <c r="AC7" i="47"/>
  <c r="X44" i="40"/>
  <c r="X47" i="40"/>
  <c r="X44" i="45"/>
  <c r="X47" i="45" s="1"/>
  <c r="H55" i="28"/>
  <c r="AE6" i="49"/>
  <c r="AE6" i="47"/>
  <c r="AE6" i="45"/>
  <c r="AE6" i="43"/>
  <c r="AE6" i="41"/>
  <c r="AE6" i="40"/>
  <c r="AE6" i="37"/>
  <c r="AF6" i="35"/>
  <c r="AE6" i="33"/>
  <c r="AG6" i="32"/>
  <c r="V8" i="50"/>
  <c r="H55" i="27"/>
  <c r="AD6" i="39" s="1"/>
  <c r="L52" i="27"/>
  <c r="V6" i="46"/>
  <c r="V6" i="48"/>
  <c r="V6" i="45"/>
  <c r="V6" i="47"/>
  <c r="C7" i="46"/>
  <c r="AD6" i="47"/>
  <c r="AD6" i="45"/>
  <c r="AD6" i="43"/>
  <c r="AD6" i="41"/>
  <c r="AD6" i="40"/>
  <c r="AD6" i="37"/>
  <c r="AD6" i="48"/>
  <c r="AC6" i="45"/>
  <c r="AC6" i="43"/>
  <c r="AC6" i="41"/>
  <c r="AC6" i="40"/>
  <c r="AC6" i="37"/>
  <c r="AC6" i="46"/>
  <c r="AC6" i="44"/>
  <c r="AC6" i="42"/>
  <c r="AC6" i="39"/>
  <c r="AC6" i="38"/>
  <c r="C7" i="42"/>
  <c r="C7" i="38"/>
  <c r="AC7" i="45"/>
  <c r="AC7" i="43"/>
  <c r="AC7" i="41"/>
  <c r="AC7" i="40"/>
  <c r="AC7" i="37"/>
  <c r="C7" i="44"/>
  <c r="V8" i="46"/>
  <c r="AB6" i="44"/>
  <c r="AB6" i="42"/>
  <c r="AB6" i="39"/>
  <c r="AB6" i="38"/>
  <c r="AB6" i="43"/>
  <c r="AB6" i="41"/>
  <c r="AB6" i="40"/>
  <c r="AB6" i="37"/>
  <c r="AB7" i="43"/>
  <c r="AB7" i="41"/>
  <c r="AB7" i="40"/>
  <c r="AB7" i="37"/>
  <c r="V6" i="41"/>
  <c r="V6" i="43"/>
  <c r="V6" i="42"/>
  <c r="V6" i="44"/>
  <c r="V8" i="42"/>
  <c r="V13" i="42" s="1"/>
  <c r="AA7" i="41"/>
  <c r="AA7" i="40"/>
  <c r="AA7" i="37"/>
  <c r="AA6" i="41"/>
  <c r="AA6" i="40"/>
  <c r="AA6" i="37"/>
  <c r="AA6" i="42"/>
  <c r="AA6" i="39"/>
  <c r="AA6" i="38"/>
  <c r="V6" i="37"/>
  <c r="V6" i="40"/>
  <c r="V6" i="38"/>
  <c r="V8" i="38" s="1"/>
  <c r="V13" i="38" s="1"/>
  <c r="V6" i="39"/>
  <c r="Z6" i="40"/>
  <c r="Z6" i="37"/>
  <c r="Z6" i="39"/>
  <c r="Z6" i="38"/>
  <c r="C7" i="39"/>
  <c r="AD6" i="16"/>
  <c r="AD6" i="36"/>
  <c r="AC6" i="34"/>
  <c r="AC6" i="36"/>
  <c r="AB6" i="34"/>
  <c r="AB6" i="36"/>
  <c r="AA6" i="34"/>
  <c r="Z6" i="16"/>
  <c r="AA6" i="36"/>
  <c r="Z6" i="34"/>
  <c r="Z6" i="36"/>
  <c r="Y6" i="34"/>
  <c r="AD7" i="35"/>
  <c r="AC7" i="33"/>
  <c r="AC7" i="35"/>
  <c r="AB7" i="33"/>
  <c r="AB7" i="35"/>
  <c r="AA7" i="33"/>
  <c r="Z7" i="35"/>
  <c r="Y7" i="33"/>
  <c r="AD6" i="17"/>
  <c r="AE6" i="35"/>
  <c r="AD6" i="33"/>
  <c r="AF6" i="32"/>
  <c r="AD6" i="35"/>
  <c r="AC6" i="33"/>
  <c r="AE6" i="32"/>
  <c r="AC6" i="35"/>
  <c r="AB6" i="33"/>
  <c r="AD6" i="32"/>
  <c r="AB6" i="35"/>
  <c r="AA6" i="33"/>
  <c r="AC6" i="32"/>
  <c r="Z6" i="17"/>
  <c r="AA6" i="35"/>
  <c r="Z6" i="33"/>
  <c r="AB6" i="32"/>
  <c r="Z6" i="35"/>
  <c r="Y6" i="33"/>
  <c r="AA6" i="32"/>
  <c r="Y6" i="35"/>
  <c r="X6" i="33"/>
  <c r="Z6" i="32"/>
  <c r="Y6" i="36"/>
  <c r="X6" i="34"/>
  <c r="W6" i="35"/>
  <c r="V6" i="33"/>
  <c r="V6" i="16"/>
  <c r="W6" i="36"/>
  <c r="V6" i="34"/>
  <c r="AC7" i="17"/>
  <c r="AE7" i="32"/>
  <c r="AB7" i="17"/>
  <c r="AD7" i="32"/>
  <c r="AA7" i="17"/>
  <c r="AC7" i="32"/>
  <c r="Y7" i="17"/>
  <c r="AA7" i="32"/>
  <c r="AA42" i="32"/>
  <c r="AA44" i="32" s="1"/>
  <c r="AA47" i="32" s="1"/>
  <c r="Z49" i="32"/>
  <c r="W7" i="17"/>
  <c r="Y7" i="32"/>
  <c r="V6" i="17"/>
  <c r="V6" i="32"/>
  <c r="L10" i="31"/>
  <c r="AC6" i="17"/>
  <c r="L3" i="31"/>
  <c r="L5" i="31" s="1"/>
  <c r="AC6" i="16"/>
  <c r="K3" i="31"/>
  <c r="K5" i="31" s="1"/>
  <c r="AB6" i="16"/>
  <c r="K10" i="31"/>
  <c r="AB6" i="17"/>
  <c r="J10" i="31"/>
  <c r="AA6" i="17"/>
  <c r="J3" i="31"/>
  <c r="J5" i="31" s="1"/>
  <c r="AA6" i="16"/>
  <c r="H10" i="31"/>
  <c r="Y6" i="17"/>
  <c r="H3" i="31"/>
  <c r="H5" i="31" s="1"/>
  <c r="Y6" i="16"/>
  <c r="G3" i="31"/>
  <c r="G5" i="31" s="1"/>
  <c r="X6" i="16"/>
  <c r="G10" i="31"/>
  <c r="G12" i="31" s="1"/>
  <c r="X6" i="17"/>
  <c r="F3" i="31"/>
  <c r="F5" i="31" s="1"/>
  <c r="W6" i="16"/>
  <c r="F10" i="31"/>
  <c r="W6" i="17"/>
  <c r="L15" i="27"/>
  <c r="N19" i="30"/>
  <c r="K56" i="27"/>
  <c r="M10" i="31"/>
  <c r="M12" i="31" s="1"/>
  <c r="I67" i="27"/>
  <c r="L11" i="31"/>
  <c r="K11" i="31"/>
  <c r="J11" i="31"/>
  <c r="I3" i="31"/>
  <c r="I5" i="31" s="1"/>
  <c r="I10" i="31"/>
  <c r="K50" i="22"/>
  <c r="K53" i="22" s="1"/>
  <c r="J22" i="30"/>
  <c r="H11" i="31"/>
  <c r="F11" i="31"/>
  <c r="E3" i="31"/>
  <c r="E5" i="31" s="1"/>
  <c r="E10" i="31"/>
  <c r="E11" i="31"/>
  <c r="L15" i="19"/>
  <c r="F10" i="30"/>
  <c r="F1" i="25"/>
  <c r="C1" i="26"/>
  <c r="L50" i="19"/>
  <c r="L52" i="19" s="1"/>
  <c r="K54" i="19"/>
  <c r="L15" i="26"/>
  <c r="K54" i="29"/>
  <c r="L15" i="29"/>
  <c r="L15" i="28"/>
  <c r="K56" i="28"/>
  <c r="K54" i="26"/>
  <c r="L15" i="25"/>
  <c r="K54" i="25"/>
  <c r="L15" i="24"/>
  <c r="K54" i="24"/>
  <c r="L15" i="23"/>
  <c r="K54" i="23"/>
  <c r="L15" i="20"/>
  <c r="K54" i="20"/>
  <c r="K54" i="21"/>
  <c r="L15" i="21"/>
  <c r="L50" i="29"/>
  <c r="L52" i="29" s="1"/>
  <c r="L50" i="24"/>
  <c r="L52" i="24" s="1"/>
  <c r="L50" i="26"/>
  <c r="L52" i="26" s="1"/>
  <c r="L50" i="25"/>
  <c r="L52" i="25" s="1"/>
  <c r="L50" i="23"/>
  <c r="L52" i="23" s="1"/>
  <c r="I54" i="22"/>
  <c r="L50" i="20"/>
  <c r="L52" i="20" s="1"/>
  <c r="L50" i="21"/>
  <c r="L52" i="21" s="1"/>
  <c r="L53" i="19"/>
  <c r="I54" i="19"/>
  <c r="I30" i="5"/>
  <c r="I29" i="5"/>
  <c r="I28" i="5"/>
  <c r="I27" i="5"/>
  <c r="I26" i="5"/>
  <c r="I25" i="5"/>
  <c r="I24" i="5"/>
  <c r="I23" i="5"/>
  <c r="X49" i="45" l="1"/>
  <c r="Y42" i="45"/>
  <c r="X49" i="37"/>
  <c r="Y42" i="37"/>
  <c r="Y44" i="37" s="1"/>
  <c r="Y47" i="37" s="1"/>
  <c r="X49" i="47"/>
  <c r="Y42" i="47"/>
  <c r="Z7" i="49"/>
  <c r="Z7" i="47"/>
  <c r="Z7" i="45"/>
  <c r="Z7" i="43"/>
  <c r="Z7" i="41"/>
  <c r="AM8" i="48"/>
  <c r="AL8" i="48"/>
  <c r="AL8" i="38"/>
  <c r="AM8" i="38"/>
  <c r="AM8" i="34"/>
  <c r="AL8" i="34"/>
  <c r="AM8" i="42"/>
  <c r="AL8" i="42"/>
  <c r="AM8" i="44"/>
  <c r="AL8" i="44"/>
  <c r="AM8" i="43"/>
  <c r="AL8" i="43"/>
  <c r="AL8" i="37"/>
  <c r="AM8" i="37"/>
  <c r="L55" i="27"/>
  <c r="AD6" i="50"/>
  <c r="X49" i="40"/>
  <c r="Y42" i="40"/>
  <c r="AL8" i="39"/>
  <c r="AM8" i="39"/>
  <c r="AL43" i="37"/>
  <c r="AM42" i="37"/>
  <c r="AL44" i="37"/>
  <c r="AM44" i="37"/>
  <c r="AL8" i="47"/>
  <c r="AM8" i="47"/>
  <c r="X49" i="43"/>
  <c r="Y42" i="43"/>
  <c r="X49" i="41"/>
  <c r="Y42" i="41"/>
  <c r="Y44" i="41" s="1"/>
  <c r="Y47" i="41" s="1"/>
  <c r="AM8" i="46"/>
  <c r="AL8" i="46"/>
  <c r="AL8" i="33"/>
  <c r="AM8" i="33"/>
  <c r="AL8" i="45"/>
  <c r="AM8" i="45"/>
  <c r="D6" i="16"/>
  <c r="AE6" i="50"/>
  <c r="C6" i="50" s="1"/>
  <c r="L55" i="28"/>
  <c r="X44" i="49"/>
  <c r="X47" i="49"/>
  <c r="AL8" i="41"/>
  <c r="AM8" i="41"/>
  <c r="AL8" i="40"/>
  <c r="AM8" i="40"/>
  <c r="AE6" i="48"/>
  <c r="C6" i="48" s="1"/>
  <c r="AE6" i="39"/>
  <c r="C6" i="39" s="1"/>
  <c r="AE6" i="38"/>
  <c r="AE6" i="46"/>
  <c r="C6" i="46" s="1"/>
  <c r="AF6" i="36"/>
  <c r="AE6" i="44"/>
  <c r="AE6" i="16"/>
  <c r="AE6" i="34"/>
  <c r="AE6" i="42"/>
  <c r="V13" i="50"/>
  <c r="V13" i="46"/>
  <c r="V15" i="46" s="1"/>
  <c r="AE6" i="36"/>
  <c r="AD6" i="38"/>
  <c r="M3" i="31"/>
  <c r="M5" i="31" s="1"/>
  <c r="AD6" i="34"/>
  <c r="AD6" i="44"/>
  <c r="AD6" i="46"/>
  <c r="I56" i="27"/>
  <c r="AD6" i="42"/>
  <c r="L54" i="27"/>
  <c r="V8" i="48"/>
  <c r="V13" i="48" s="1"/>
  <c r="C6" i="44"/>
  <c r="V8" i="44"/>
  <c r="V13" i="44" s="1"/>
  <c r="V15" i="42"/>
  <c r="W5" i="42"/>
  <c r="V8" i="39"/>
  <c r="V13" i="39" s="1"/>
  <c r="Z7" i="40"/>
  <c r="Z7" i="37"/>
  <c r="AL8" i="17"/>
  <c r="V15" i="38"/>
  <c r="W5" i="38"/>
  <c r="W8" i="38" s="1"/>
  <c r="W13" i="38" s="1"/>
  <c r="AA7" i="35"/>
  <c r="Z7" i="33"/>
  <c r="Z7" i="17"/>
  <c r="AB7" i="32"/>
  <c r="AA49" i="32"/>
  <c r="AB42" i="32"/>
  <c r="AB44" i="32" s="1"/>
  <c r="AB47" i="32" s="1"/>
  <c r="AM8" i="17"/>
  <c r="X6" i="32"/>
  <c r="V8" i="32"/>
  <c r="V13" i="32" s="1"/>
  <c r="V15" i="32" s="1"/>
  <c r="AO8" i="32"/>
  <c r="AO11" i="32" s="1"/>
  <c r="F12" i="31"/>
  <c r="L12" i="31"/>
  <c r="K12" i="31"/>
  <c r="J12" i="31"/>
  <c r="L50" i="22"/>
  <c r="L52" i="22" s="1"/>
  <c r="H12" i="31"/>
  <c r="G57" i="19"/>
  <c r="I11" i="31"/>
  <c r="I12" i="31" s="1"/>
  <c r="K54" i="22"/>
  <c r="G57" i="22" s="1"/>
  <c r="L53" i="22"/>
  <c r="E12" i="31"/>
  <c r="L54" i="19"/>
  <c r="C1" i="27"/>
  <c r="F1" i="26"/>
  <c r="I54" i="25"/>
  <c r="G57" i="25" s="1"/>
  <c r="L53" i="25"/>
  <c r="L54" i="25" s="1"/>
  <c r="L56" i="27"/>
  <c r="I54" i="29"/>
  <c r="G57" i="29" s="1"/>
  <c r="L53" i="29"/>
  <c r="L54" i="29" s="1"/>
  <c r="L53" i="26"/>
  <c r="L54" i="26" s="1"/>
  <c r="I54" i="26"/>
  <c r="G57" i="26" s="1"/>
  <c r="L53" i="24"/>
  <c r="L54" i="24" s="1"/>
  <c r="I54" i="24"/>
  <c r="G57" i="24" s="1"/>
  <c r="I56" i="28"/>
  <c r="I54" i="23"/>
  <c r="G57" i="23" s="1"/>
  <c r="L53" i="23"/>
  <c r="L54" i="23" s="1"/>
  <c r="L53" i="20"/>
  <c r="L54" i="20" s="1"/>
  <c r="I54" i="20"/>
  <c r="G57" i="20" s="1"/>
  <c r="I54" i="21"/>
  <c r="G57" i="21" s="1"/>
  <c r="L53" i="21"/>
  <c r="L54" i="21" s="1"/>
  <c r="C6" i="42" l="1"/>
  <c r="AL8" i="50"/>
  <c r="AM8" i="50"/>
  <c r="Z42" i="37"/>
  <c r="Z44" i="37" s="1"/>
  <c r="Z47" i="37" s="1"/>
  <c r="Y49" i="37"/>
  <c r="Y42" i="49"/>
  <c r="X49" i="49"/>
  <c r="Y49" i="41"/>
  <c r="Z42" i="41"/>
  <c r="Y44" i="40"/>
  <c r="Y47" i="40" s="1"/>
  <c r="W5" i="46"/>
  <c r="C6" i="38"/>
  <c r="AM48" i="37"/>
  <c r="Y47" i="47"/>
  <c r="Y44" i="47"/>
  <c r="Y44" i="45"/>
  <c r="Y47" i="45"/>
  <c r="Y47" i="43"/>
  <c r="Y44" i="43"/>
  <c r="L56" i="28"/>
  <c r="W5" i="50"/>
  <c r="V15" i="50"/>
  <c r="W5" i="48"/>
  <c r="V15" i="48"/>
  <c r="W8" i="46"/>
  <c r="W13" i="46" s="1"/>
  <c r="W5" i="44"/>
  <c r="V15" i="44"/>
  <c r="W8" i="42"/>
  <c r="W13" i="42" s="1"/>
  <c r="V15" i="39"/>
  <c r="W5" i="39"/>
  <c r="L54" i="22"/>
  <c r="X5" i="38"/>
  <c r="W15" i="38"/>
  <c r="AB49" i="32"/>
  <c r="AC42" i="32"/>
  <c r="AC44" i="32" s="1"/>
  <c r="AC47" i="32" s="1"/>
  <c r="C1" i="28"/>
  <c r="F1" i="27"/>
  <c r="Y49" i="40" l="1"/>
  <c r="Z42" i="40"/>
  <c r="Z44" i="40" s="1"/>
  <c r="Z47" i="40" s="1"/>
  <c r="Y49" i="45"/>
  <c r="Z42" i="45"/>
  <c r="Z44" i="45" s="1"/>
  <c r="Z47" i="45" s="1"/>
  <c r="AM42" i="40"/>
  <c r="AL43" i="40"/>
  <c r="AL44" i="40"/>
  <c r="AM44" i="40"/>
  <c r="Y44" i="49"/>
  <c r="Z49" i="37"/>
  <c r="AA42" i="37"/>
  <c r="AA44" i="37" s="1"/>
  <c r="AA47" i="37" s="1"/>
  <c r="AA49" i="37" s="1"/>
  <c r="Z42" i="43"/>
  <c r="Y49" i="43"/>
  <c r="Y49" i="47"/>
  <c r="Z42" i="47"/>
  <c r="Z44" i="41"/>
  <c r="W13" i="50"/>
  <c r="W8" i="50"/>
  <c r="W8" i="48"/>
  <c r="W13" i="48" s="1"/>
  <c r="X5" i="46"/>
  <c r="W15" i="46"/>
  <c r="W8" i="44"/>
  <c r="W13" i="44" s="1"/>
  <c r="X5" i="42"/>
  <c r="W15" i="42"/>
  <c r="W8" i="39"/>
  <c r="W13" i="39" s="1"/>
  <c r="AB42" i="37"/>
  <c r="AB44" i="37" s="1"/>
  <c r="AB47" i="37" s="1"/>
  <c r="X8" i="38"/>
  <c r="X13" i="38" s="1"/>
  <c r="AD42" i="32"/>
  <c r="AD44" i="32" s="1"/>
  <c r="AD47" i="32" s="1"/>
  <c r="AC49" i="32"/>
  <c r="F1" i="28"/>
  <c r="C1" i="29"/>
  <c r="F1" i="29" s="1"/>
  <c r="D28" i="17"/>
  <c r="D24" i="17"/>
  <c r="L30" i="18"/>
  <c r="L29" i="18"/>
  <c r="L26" i="18"/>
  <c r="L18" i="18"/>
  <c r="L14" i="18"/>
  <c r="L6" i="18"/>
  <c r="L3" i="18"/>
  <c r="K30" i="18"/>
  <c r="K29" i="18"/>
  <c r="K25" i="18"/>
  <c r="K17" i="18"/>
  <c r="K13" i="18"/>
  <c r="M30" i="18"/>
  <c r="M29" i="18"/>
  <c r="M28" i="18"/>
  <c r="M27" i="18"/>
  <c r="M26" i="18"/>
  <c r="M25" i="18"/>
  <c r="M20" i="18"/>
  <c r="M19" i="18"/>
  <c r="M18" i="18"/>
  <c r="M17" i="18"/>
  <c r="M16" i="18"/>
  <c r="M15" i="18"/>
  <c r="M14" i="18"/>
  <c r="M13" i="18"/>
  <c r="K2" i="18"/>
  <c r="I30" i="18"/>
  <c r="I29" i="18"/>
  <c r="I28" i="18"/>
  <c r="I27" i="18"/>
  <c r="I26" i="18"/>
  <c r="I25" i="18"/>
  <c r="I20" i="18"/>
  <c r="I19" i="18"/>
  <c r="I18" i="18"/>
  <c r="I17" i="18"/>
  <c r="I16" i="18"/>
  <c r="I15" i="18"/>
  <c r="I14" i="18"/>
  <c r="I13" i="18"/>
  <c r="H30" i="18"/>
  <c r="H29" i="18"/>
  <c r="H28" i="18"/>
  <c r="H27" i="18"/>
  <c r="H26" i="18"/>
  <c r="H25" i="18"/>
  <c r="H20" i="18"/>
  <c r="H19" i="18"/>
  <c r="H18" i="18"/>
  <c r="H17" i="18"/>
  <c r="H16" i="18"/>
  <c r="H15" i="18"/>
  <c r="H14" i="18"/>
  <c r="H13" i="18"/>
  <c r="M10" i="18"/>
  <c r="M9" i="18"/>
  <c r="M8" i="18"/>
  <c r="M7" i="18"/>
  <c r="M6" i="18"/>
  <c r="M5" i="18"/>
  <c r="M4" i="18"/>
  <c r="M3" i="18"/>
  <c r="M2" i="18"/>
  <c r="I10" i="18"/>
  <c r="I9" i="18"/>
  <c r="I8" i="18"/>
  <c r="I7" i="18"/>
  <c r="I6" i="18"/>
  <c r="I5" i="18"/>
  <c r="I4" i="18"/>
  <c r="I3" i="18"/>
  <c r="I2" i="18"/>
  <c r="H10" i="18"/>
  <c r="H9" i="18"/>
  <c r="H8" i="18"/>
  <c r="H7" i="18"/>
  <c r="H6" i="18"/>
  <c r="H5" i="18"/>
  <c r="H4" i="18"/>
  <c r="H3" i="18"/>
  <c r="H2" i="18"/>
  <c r="G2" i="18"/>
  <c r="G3" i="18"/>
  <c r="G4" i="18"/>
  <c r="G5" i="18"/>
  <c r="G6" i="18"/>
  <c r="G7" i="18"/>
  <c r="G8" i="18"/>
  <c r="G9" i="18"/>
  <c r="G10" i="18"/>
  <c r="G13" i="18"/>
  <c r="G14" i="18"/>
  <c r="G15" i="18"/>
  <c r="G16" i="18"/>
  <c r="G17" i="18"/>
  <c r="G18" i="18"/>
  <c r="G19" i="18"/>
  <c r="G20" i="18"/>
  <c r="G26" i="18"/>
  <c r="G27" i="18"/>
  <c r="G28" i="18"/>
  <c r="G29" i="18"/>
  <c r="G30" i="18"/>
  <c r="G25" i="18"/>
  <c r="Z44" i="47" l="1"/>
  <c r="Z47" i="47" s="1"/>
  <c r="Z49" i="45"/>
  <c r="AA42" i="45"/>
  <c r="AM42" i="41"/>
  <c r="AL43" i="41"/>
  <c r="AM44" i="41"/>
  <c r="AL44" i="41"/>
  <c r="AM48" i="40"/>
  <c r="Z49" i="40"/>
  <c r="AA42" i="40"/>
  <c r="AA44" i="40" s="1"/>
  <c r="AA47" i="40" s="1"/>
  <c r="Z47" i="41"/>
  <c r="Z44" i="43"/>
  <c r="Z47" i="43" s="1"/>
  <c r="Y47" i="49"/>
  <c r="X5" i="50"/>
  <c r="X8" i="50" s="1"/>
  <c r="X13" i="50" s="1"/>
  <c r="W15" i="50"/>
  <c r="W15" i="48"/>
  <c r="X5" i="48"/>
  <c r="X8" i="46"/>
  <c r="X13" i="46" s="1"/>
  <c r="X5" i="44"/>
  <c r="W15" i="44"/>
  <c r="X8" i="42"/>
  <c r="X13" i="42" s="1"/>
  <c r="X5" i="39"/>
  <c r="W15" i="39"/>
  <c r="AC42" i="37"/>
  <c r="AC44" i="37" s="1"/>
  <c r="AC47" i="37" s="1"/>
  <c r="AB49" i="37"/>
  <c r="AL6" i="38"/>
  <c r="AM5" i="38"/>
  <c r="AM7" i="38"/>
  <c r="AL7" i="38"/>
  <c r="X15" i="38"/>
  <c r="Y5" i="38"/>
  <c r="AD49" i="32"/>
  <c r="AE42" i="32"/>
  <c r="AE44" i="32" s="1"/>
  <c r="AE47" i="32" s="1"/>
  <c r="H76" i="17"/>
  <c r="H43" i="17"/>
  <c r="Z49" i="43" l="1"/>
  <c r="AA42" i="43"/>
  <c r="Z49" i="47"/>
  <c r="AA42" i="47"/>
  <c r="AA44" i="47" s="1"/>
  <c r="AA47" i="47" s="1"/>
  <c r="Y49" i="49"/>
  <c r="Z42" i="49"/>
  <c r="AB42" i="40"/>
  <c r="AB44" i="40" s="1"/>
  <c r="AB47" i="40" s="1"/>
  <c r="AA49" i="40"/>
  <c r="AA44" i="45"/>
  <c r="AA47" i="45" s="1"/>
  <c r="AM48" i="41"/>
  <c r="AA42" i="41"/>
  <c r="Z49" i="41"/>
  <c r="X15" i="50"/>
  <c r="Y5" i="50"/>
  <c r="Y8" i="50" s="1"/>
  <c r="Y13" i="50" s="1"/>
  <c r="X8" i="48"/>
  <c r="X13" i="48" s="1"/>
  <c r="Y5" i="46"/>
  <c r="Y8" i="46" s="1"/>
  <c r="Y13" i="46" s="1"/>
  <c r="X15" i="46"/>
  <c r="X8" i="44"/>
  <c r="X13" i="44" s="1"/>
  <c r="Y5" i="42"/>
  <c r="Y8" i="42" s="1"/>
  <c r="Y13" i="42" s="1"/>
  <c r="X15" i="42"/>
  <c r="X8" i="39"/>
  <c r="X13" i="39" s="1"/>
  <c r="AD42" i="37"/>
  <c r="AC49" i="37"/>
  <c r="AM11" i="38"/>
  <c r="Y8" i="38"/>
  <c r="Y13" i="38" s="1"/>
  <c r="AF42" i="32"/>
  <c r="AF44" i="32" s="1"/>
  <c r="AF47" i="32" s="1"/>
  <c r="AE49" i="32"/>
  <c r="F260" i="7"/>
  <c r="E8" i="17"/>
  <c r="AA49" i="45" l="1"/>
  <c r="AB42" i="45"/>
  <c r="AA44" i="41"/>
  <c r="AA47" i="41" s="1"/>
  <c r="AA49" i="47"/>
  <c r="AB42" i="47"/>
  <c r="AB44" i="47" s="1"/>
  <c r="AB47" i="47" s="1"/>
  <c r="AB49" i="40"/>
  <c r="AC42" i="40"/>
  <c r="AC44" i="40" s="1"/>
  <c r="AC47" i="40" s="1"/>
  <c r="Z44" i="49"/>
  <c r="Z47" i="49"/>
  <c r="AA47" i="43"/>
  <c r="AA44" i="43"/>
  <c r="Z5" i="50"/>
  <c r="Y15" i="50"/>
  <c r="Y5" i="48"/>
  <c r="X15" i="48"/>
  <c r="Z5" i="46"/>
  <c r="Z8" i="46" s="1"/>
  <c r="Z13" i="46" s="1"/>
  <c r="Y15" i="46"/>
  <c r="Y5" i="44"/>
  <c r="X15" i="44"/>
  <c r="Y15" i="42"/>
  <c r="Z5" i="42"/>
  <c r="X15" i="39"/>
  <c r="Y5" i="39"/>
  <c r="AD44" i="37"/>
  <c r="AD47" i="37" s="1"/>
  <c r="Z5" i="38"/>
  <c r="Y15" i="38"/>
  <c r="AG42" i="32"/>
  <c r="AG44" i="32" s="1"/>
  <c r="AG47" i="32" s="1"/>
  <c r="AF49" i="32"/>
  <c r="E76" i="17"/>
  <c r="F73" i="17"/>
  <c r="F63" i="17"/>
  <c r="G63" i="17" s="1"/>
  <c r="H63" i="17" s="1"/>
  <c r="H60" i="17"/>
  <c r="G60" i="17"/>
  <c r="F60" i="17"/>
  <c r="D59" i="17"/>
  <c r="C59" i="17"/>
  <c r="D57" i="17"/>
  <c r="D56" i="17"/>
  <c r="F51" i="17"/>
  <c r="G51" i="17" s="1"/>
  <c r="H51" i="17" s="1"/>
  <c r="AB42" i="41" l="1"/>
  <c r="AA49" i="41"/>
  <c r="AL43" i="43"/>
  <c r="AM42" i="43"/>
  <c r="AM44" i="43"/>
  <c r="AL44" i="43"/>
  <c r="AC49" i="40"/>
  <c r="AD42" i="40"/>
  <c r="AD44" i="40" s="1"/>
  <c r="AD47" i="40" s="1"/>
  <c r="AA49" i="43"/>
  <c r="AB42" i="43"/>
  <c r="AB44" i="43" s="1"/>
  <c r="AB47" i="43" s="1"/>
  <c r="AA42" i="49"/>
  <c r="AA44" i="49" s="1"/>
  <c r="AA47" i="49" s="1"/>
  <c r="Z49" i="49"/>
  <c r="AB49" i="47"/>
  <c r="AC42" i="47"/>
  <c r="AB44" i="45"/>
  <c r="AB47" i="45" s="1"/>
  <c r="Z8" i="50"/>
  <c r="Z13" i="50" s="1"/>
  <c r="Y8" i="48"/>
  <c r="Y13" i="48" s="1"/>
  <c r="AA5" i="46"/>
  <c r="AA8" i="46" s="1"/>
  <c r="AA13" i="46" s="1"/>
  <c r="Z15" i="46"/>
  <c r="Y8" i="44"/>
  <c r="Y13" i="44" s="1"/>
  <c r="Z8" i="42"/>
  <c r="Y8" i="39"/>
  <c r="AD49" i="37"/>
  <c r="AE42" i="37"/>
  <c r="Z8" i="38"/>
  <c r="Z13" i="38" s="1"/>
  <c r="AG49" i="32"/>
  <c r="AH42" i="32"/>
  <c r="G73" i="17"/>
  <c r="E77" i="17"/>
  <c r="E43" i="17"/>
  <c r="F40" i="17"/>
  <c r="F30" i="17"/>
  <c r="G30" i="17" s="1"/>
  <c r="H30" i="17" s="1"/>
  <c r="H27" i="17"/>
  <c r="G27" i="17"/>
  <c r="E27" i="17"/>
  <c r="D26" i="17"/>
  <c r="C26" i="17"/>
  <c r="D25" i="17"/>
  <c r="C25" i="17"/>
  <c r="D23" i="17"/>
  <c r="D22" i="17"/>
  <c r="D21" i="17"/>
  <c r="F18" i="17"/>
  <c r="G18" i="17" s="1"/>
  <c r="H18" i="17" s="1"/>
  <c r="F48" i="17"/>
  <c r="AB49" i="45" l="1"/>
  <c r="AC42" i="45"/>
  <c r="AC44" i="45" s="1"/>
  <c r="AC47" i="45" s="1"/>
  <c r="AE42" i="40"/>
  <c r="AE44" i="40" s="1"/>
  <c r="AE47" i="40" s="1"/>
  <c r="AD49" i="40"/>
  <c r="AL43" i="45"/>
  <c r="AM42" i="45"/>
  <c r="AM44" i="45"/>
  <c r="AL44" i="45"/>
  <c r="AB42" i="49"/>
  <c r="AA49" i="49"/>
  <c r="AM48" i="43"/>
  <c r="AC47" i="47"/>
  <c r="AC44" i="47"/>
  <c r="AC42" i="43"/>
  <c r="AC44" i="43" s="1"/>
  <c r="AC47" i="43" s="1"/>
  <c r="AB49" i="43"/>
  <c r="AB44" i="41"/>
  <c r="AB47" i="41" s="1"/>
  <c r="AA5" i="50"/>
  <c r="Z15" i="50"/>
  <c r="Z5" i="48"/>
  <c r="Y15" i="48"/>
  <c r="AB5" i="46"/>
  <c r="AA15" i="46"/>
  <c r="Z5" i="44"/>
  <c r="Y15" i="44"/>
  <c r="AL6" i="42"/>
  <c r="AL7" i="42"/>
  <c r="AM7" i="42"/>
  <c r="AM5" i="42"/>
  <c r="Z13" i="42"/>
  <c r="AL6" i="39"/>
  <c r="AM5" i="39"/>
  <c r="AM7" i="39"/>
  <c r="AL7" i="39"/>
  <c r="Y13" i="39"/>
  <c r="AE44" i="37"/>
  <c r="AE47" i="37" s="1"/>
  <c r="AA5" i="38"/>
  <c r="Z15" i="38"/>
  <c r="AH44" i="32"/>
  <c r="H73" i="17"/>
  <c r="G40" i="17"/>
  <c r="F77" i="17"/>
  <c r="E13" i="17"/>
  <c r="F3" i="17"/>
  <c r="G48" i="17"/>
  <c r="F14" i="17"/>
  <c r="AB49" i="41" l="1"/>
  <c r="AC42" i="41"/>
  <c r="AC49" i="47"/>
  <c r="AD42" i="47"/>
  <c r="AF42" i="40"/>
  <c r="AE49" i="40"/>
  <c r="AC49" i="43"/>
  <c r="AD42" i="43"/>
  <c r="AD44" i="43" s="1"/>
  <c r="AD47" i="43" s="1"/>
  <c r="AD42" i="45"/>
  <c r="AD44" i="45" s="1"/>
  <c r="AD47" i="45" s="1"/>
  <c r="AC49" i="45"/>
  <c r="AM42" i="47"/>
  <c r="AL43" i="47"/>
  <c r="AL44" i="47"/>
  <c r="AM44" i="47"/>
  <c r="AB44" i="49"/>
  <c r="AB47" i="49"/>
  <c r="AM48" i="45"/>
  <c r="AA8" i="50"/>
  <c r="AA13" i="50" s="1"/>
  <c r="Z8" i="48"/>
  <c r="Z13" i="48" s="1"/>
  <c r="AB8" i="46"/>
  <c r="Z8" i="44"/>
  <c r="Z13" i="44" s="1"/>
  <c r="AA5" i="42"/>
  <c r="Z15" i="42"/>
  <c r="AM11" i="42"/>
  <c r="Y15" i="39"/>
  <c r="Z5" i="39"/>
  <c r="Z8" i="39" s="1"/>
  <c r="Z13" i="39" s="1"/>
  <c r="AM11" i="39"/>
  <c r="AF42" i="37"/>
  <c r="AE49" i="37"/>
  <c r="AA8" i="38"/>
  <c r="AA13" i="38" s="1"/>
  <c r="AH47" i="32"/>
  <c r="AH49" i="32" s="1"/>
  <c r="AO57" i="32" s="1"/>
  <c r="H40" i="17"/>
  <c r="G3" i="17"/>
  <c r="E15" i="17"/>
  <c r="F5" i="17"/>
  <c r="F8" i="17" s="1"/>
  <c r="F13" i="17" s="1"/>
  <c r="G5" i="17" s="1"/>
  <c r="G8" i="17" s="1"/>
  <c r="C81" i="16"/>
  <c r="F80" i="16"/>
  <c r="E80" i="16"/>
  <c r="F78" i="16"/>
  <c r="F67" i="16"/>
  <c r="G67" i="16" s="1"/>
  <c r="H67" i="16" s="1"/>
  <c r="H64" i="16"/>
  <c r="G64" i="16"/>
  <c r="F64" i="16"/>
  <c r="E64" i="16"/>
  <c r="F54" i="16"/>
  <c r="G54" i="16" s="1"/>
  <c r="H54" i="16" s="1"/>
  <c r="D22" i="16"/>
  <c r="D24" i="16"/>
  <c r="D26" i="16"/>
  <c r="H48" i="17"/>
  <c r="F83" i="16"/>
  <c r="G14" i="17"/>
  <c r="AE42" i="43" l="1"/>
  <c r="AE44" i="43" s="1"/>
  <c r="AE47" i="43" s="1"/>
  <c r="AD49" i="43"/>
  <c r="AD44" i="47"/>
  <c r="AD47" i="47" s="1"/>
  <c r="AC44" i="41"/>
  <c r="AC47" i="41" s="1"/>
  <c r="AB49" i="49"/>
  <c r="AC42" i="49"/>
  <c r="AM48" i="47"/>
  <c r="AD49" i="45"/>
  <c r="AE42" i="45"/>
  <c r="AE44" i="45" s="1"/>
  <c r="AE47" i="45" s="1"/>
  <c r="AF44" i="40"/>
  <c r="C44" i="40" s="1"/>
  <c r="AF47" i="40"/>
  <c r="AF49" i="40" s="1"/>
  <c r="AB5" i="50"/>
  <c r="AA15" i="50"/>
  <c r="Z15" i="48"/>
  <c r="AA5" i="48"/>
  <c r="AA8" i="48" s="1"/>
  <c r="AA13" i="48" s="1"/>
  <c r="AL6" i="46"/>
  <c r="AM5" i="46"/>
  <c r="AL7" i="46"/>
  <c r="AM7" i="46"/>
  <c r="AB13" i="46"/>
  <c r="Z15" i="44"/>
  <c r="AA5" i="44"/>
  <c r="AA8" i="42"/>
  <c r="AA13" i="42" s="1"/>
  <c r="Z15" i="39"/>
  <c r="AA5" i="39"/>
  <c r="AA8" i="39" s="1"/>
  <c r="AA13" i="39" s="1"/>
  <c r="AF44" i="37"/>
  <c r="C44" i="37" s="1"/>
  <c r="AA15" i="38"/>
  <c r="AB5" i="38"/>
  <c r="H3" i="17"/>
  <c r="F15" i="17"/>
  <c r="C82" i="16"/>
  <c r="G78" i="16"/>
  <c r="E82" i="16"/>
  <c r="F282" i="10"/>
  <c r="F45" i="16"/>
  <c r="F28" i="16"/>
  <c r="G28" i="16"/>
  <c r="H28" i="16"/>
  <c r="E28" i="16"/>
  <c r="C238" i="10"/>
  <c r="E45" i="16"/>
  <c r="E46" i="16" s="1"/>
  <c r="H14" i="17"/>
  <c r="G83" i="16"/>
  <c r="AC49" i="41" l="1"/>
  <c r="AD42" i="41"/>
  <c r="AD49" i="47"/>
  <c r="AE42" i="47"/>
  <c r="AC44" i="49"/>
  <c r="AC47" i="49" s="1"/>
  <c r="AF42" i="45"/>
  <c r="AE49" i="45"/>
  <c r="AE49" i="43"/>
  <c r="AF42" i="43"/>
  <c r="AB8" i="50"/>
  <c r="AB13" i="50" s="1"/>
  <c r="AA15" i="48"/>
  <c r="AB5" i="48"/>
  <c r="AB8" i="48" s="1"/>
  <c r="AB13" i="48" s="1"/>
  <c r="AM11" i="46"/>
  <c r="AC5" i="46"/>
  <c r="AB15" i="46"/>
  <c r="AA8" i="44"/>
  <c r="AA15" i="42"/>
  <c r="AB5" i="42"/>
  <c r="AB8" i="42" s="1"/>
  <c r="AB13" i="42" s="1"/>
  <c r="AA15" i="39"/>
  <c r="AB5" i="39"/>
  <c r="AB8" i="39" s="1"/>
  <c r="AB13" i="39" s="1"/>
  <c r="AF47" i="37"/>
  <c r="AF49" i="37" s="1"/>
  <c r="AB8" i="38"/>
  <c r="AB13" i="38" s="1"/>
  <c r="H78" i="16"/>
  <c r="E84" i="16"/>
  <c r="F79" i="16"/>
  <c r="F31" i="16"/>
  <c r="G31" i="16" s="1"/>
  <c r="H31" i="16" s="1"/>
  <c r="F18" i="16"/>
  <c r="G18" i="16" s="1"/>
  <c r="H18" i="16" s="1"/>
  <c r="E49" i="16"/>
  <c r="F42" i="16"/>
  <c r="H83" i="16"/>
  <c r="F50" i="16"/>
  <c r="AC49" i="49" l="1"/>
  <c r="AD42" i="49"/>
  <c r="AD44" i="49" s="1"/>
  <c r="AE44" i="47"/>
  <c r="AE47" i="47" s="1"/>
  <c r="AF44" i="45"/>
  <c r="C44" i="45" s="1"/>
  <c r="AF47" i="45"/>
  <c r="AF49" i="45" s="1"/>
  <c r="AF44" i="43"/>
  <c r="C44" i="43" s="1"/>
  <c r="AD44" i="41"/>
  <c r="AD47" i="41"/>
  <c r="AC5" i="50"/>
  <c r="AB15" i="50"/>
  <c r="AC5" i="48"/>
  <c r="AB15" i="48"/>
  <c r="AC8" i="46"/>
  <c r="AC13" i="46" s="1"/>
  <c r="AL7" i="44"/>
  <c r="AM5" i="44"/>
  <c r="AL6" i="44"/>
  <c r="AM7" i="44"/>
  <c r="AA13" i="44"/>
  <c r="AC5" i="42"/>
  <c r="AC8" i="42" s="1"/>
  <c r="AB15" i="42"/>
  <c r="AB15" i="39"/>
  <c r="AC5" i="39"/>
  <c r="AC8" i="39" s="1"/>
  <c r="AC13" i="39" s="1"/>
  <c r="AC5" i="38"/>
  <c r="AB15" i="38"/>
  <c r="G13" i="17"/>
  <c r="H5" i="17" s="1"/>
  <c r="H8" i="17" s="1"/>
  <c r="F82" i="16"/>
  <c r="G42" i="16"/>
  <c r="E51" i="16"/>
  <c r="F44" i="16"/>
  <c r="F46" i="16" s="1"/>
  <c r="G50" i="16"/>
  <c r="AF42" i="47" l="1"/>
  <c r="AE49" i="47"/>
  <c r="AE42" i="41"/>
  <c r="AE44" i="41" s="1"/>
  <c r="AE47" i="41" s="1"/>
  <c r="AD49" i="41"/>
  <c r="AD47" i="49"/>
  <c r="AM42" i="49"/>
  <c r="AL43" i="49"/>
  <c r="AL44" i="49"/>
  <c r="AM44" i="49"/>
  <c r="AF47" i="43"/>
  <c r="AF49" i="43" s="1"/>
  <c r="AC8" i="50"/>
  <c r="AC13" i="50" s="1"/>
  <c r="AC8" i="48"/>
  <c r="AC13" i="48" s="1"/>
  <c r="AC15" i="46"/>
  <c r="AD5" i="46"/>
  <c r="AM11" i="44"/>
  <c r="AB5" i="44"/>
  <c r="AA15" i="44"/>
  <c r="AC13" i="42"/>
  <c r="AC15" i="39"/>
  <c r="AD5" i="39"/>
  <c r="AD8" i="39" s="1"/>
  <c r="AD13" i="39" s="1"/>
  <c r="AC8" i="38"/>
  <c r="AC13" i="38" s="1"/>
  <c r="G15" i="17"/>
  <c r="F84" i="16"/>
  <c r="G79" i="16"/>
  <c r="H42" i="16"/>
  <c r="AM44" i="16" s="1"/>
  <c r="E8" i="16"/>
  <c r="H50" i="16"/>
  <c r="AM48" i="49" l="1"/>
  <c r="AF42" i="41"/>
  <c r="AE49" i="41"/>
  <c r="AE42" i="49"/>
  <c r="AD49" i="49"/>
  <c r="AF44" i="47"/>
  <c r="C44" i="47" s="1"/>
  <c r="AF47" i="47"/>
  <c r="AF49" i="47" s="1"/>
  <c r="AD5" i="50"/>
  <c r="AC15" i="50"/>
  <c r="AM5" i="48"/>
  <c r="AM7" i="48"/>
  <c r="AL6" i="48"/>
  <c r="AL7" i="48"/>
  <c r="AD5" i="48"/>
  <c r="AD8" i="48" s="1"/>
  <c r="AD13" i="48" s="1"/>
  <c r="AC15" i="48"/>
  <c r="AD8" i="46"/>
  <c r="AD13" i="46" s="1"/>
  <c r="AB8" i="44"/>
  <c r="AB13" i="44" s="1"/>
  <c r="AC15" i="42"/>
  <c r="AD5" i="42"/>
  <c r="AD8" i="42" s="1"/>
  <c r="AE5" i="39"/>
  <c r="AE8" i="39" s="1"/>
  <c r="AE13" i="39" s="1"/>
  <c r="AD15" i="39"/>
  <c r="AD5" i="38"/>
  <c r="AD8" i="38" s="1"/>
  <c r="AD13" i="38" s="1"/>
  <c r="AC15" i="38"/>
  <c r="AL44" i="16"/>
  <c r="E13" i="16"/>
  <c r="F5" i="16" s="1"/>
  <c r="F8" i="16" s="1"/>
  <c r="G82" i="16"/>
  <c r="F49" i="16"/>
  <c r="F3" i="16"/>
  <c r="F14" i="16"/>
  <c r="AE44" i="49" l="1"/>
  <c r="AE47" i="49" s="1"/>
  <c r="AF44" i="41"/>
  <c r="C44" i="41" s="1"/>
  <c r="AD8" i="50"/>
  <c r="AD15" i="48"/>
  <c r="AE5" i="48"/>
  <c r="AM11" i="48"/>
  <c r="AE5" i="46"/>
  <c r="AE8" i="46" s="1"/>
  <c r="AE13" i="46" s="1"/>
  <c r="AD15" i="46"/>
  <c r="AC5" i="44"/>
  <c r="AB15" i="44"/>
  <c r="AD13" i="42"/>
  <c r="AF5" i="39"/>
  <c r="AE15" i="39"/>
  <c r="AE5" i="38"/>
  <c r="AE8" i="38" s="1"/>
  <c r="AE13" i="38" s="1"/>
  <c r="AD15" i="38"/>
  <c r="F13" i="16"/>
  <c r="E15" i="16"/>
  <c r="H13" i="17"/>
  <c r="G84" i="16"/>
  <c r="H79" i="16"/>
  <c r="F51" i="16"/>
  <c r="G44" i="16"/>
  <c r="G46" i="16" s="1"/>
  <c r="G3" i="16"/>
  <c r="F15" i="16"/>
  <c r="C127" i="3"/>
  <c r="C160" i="6"/>
  <c r="C4" i="15"/>
  <c r="C7" i="15" s="1"/>
  <c r="B13" i="15"/>
  <c r="B7" i="15"/>
  <c r="N15" i="13"/>
  <c r="N14" i="13"/>
  <c r="G14" i="16"/>
  <c r="AE49" i="49" l="1"/>
  <c r="AF42" i="49"/>
  <c r="AF47" i="41"/>
  <c r="AF49" i="41" s="1"/>
  <c r="AM7" i="50"/>
  <c r="AL7" i="50"/>
  <c r="AL6" i="50"/>
  <c r="AM5" i="50"/>
  <c r="AD13" i="50"/>
  <c r="AE8" i="48"/>
  <c r="AE13" i="48" s="1"/>
  <c r="AF5" i="46"/>
  <c r="AE15" i="46"/>
  <c r="AC8" i="44"/>
  <c r="AC13" i="44" s="1"/>
  <c r="AD15" i="42"/>
  <c r="AE5" i="42"/>
  <c r="AE8" i="42" s="1"/>
  <c r="AF8" i="39"/>
  <c r="C8" i="39" s="1"/>
  <c r="C13" i="39" s="1"/>
  <c r="AF5" i="38"/>
  <c r="AE15" i="38"/>
  <c r="G5" i="16"/>
  <c r="G8" i="16" s="1"/>
  <c r="H15" i="17"/>
  <c r="H82" i="16"/>
  <c r="G49" i="16"/>
  <c r="H3" i="16"/>
  <c r="D4" i="15"/>
  <c r="C13" i="15"/>
  <c r="N16" i="13"/>
  <c r="H14" i="16"/>
  <c r="AF44" i="49" l="1"/>
  <c r="C44" i="49" s="1"/>
  <c r="AM11" i="50"/>
  <c r="AE5" i="50"/>
  <c r="AD15" i="50"/>
  <c r="AF5" i="48"/>
  <c r="AE15" i="48"/>
  <c r="AF8" i="46"/>
  <c r="C8" i="46" s="1"/>
  <c r="C13" i="46" s="1"/>
  <c r="AD5" i="44"/>
  <c r="AC15" i="44"/>
  <c r="AE13" i="42"/>
  <c r="AF13" i="39"/>
  <c r="AF15" i="39" s="1"/>
  <c r="AF8" i="38"/>
  <c r="C8" i="38" s="1"/>
  <c r="C13" i="38" s="1"/>
  <c r="G13" i="16"/>
  <c r="H84" i="16"/>
  <c r="G51" i="16"/>
  <c r="H44" i="16"/>
  <c r="H46" i="16" s="1"/>
  <c r="E4" i="15"/>
  <c r="D7" i="15"/>
  <c r="D13" i="15"/>
  <c r="Q141" i="3"/>
  <c r="R140" i="3"/>
  <c r="R133" i="3"/>
  <c r="R132" i="3"/>
  <c r="S178" i="6"/>
  <c r="T177" i="6"/>
  <c r="S176" i="6"/>
  <c r="T173" i="6"/>
  <c r="T168" i="6"/>
  <c r="T167" i="6"/>
  <c r="AF47" i="49" l="1"/>
  <c r="AF49" i="49" s="1"/>
  <c r="AE8" i="50"/>
  <c r="AE13" i="50" s="1"/>
  <c r="AF8" i="48"/>
  <c r="C8" i="48" s="1"/>
  <c r="C13" i="48" s="1"/>
  <c r="AF13" i="46"/>
  <c r="AF15" i="46" s="1"/>
  <c r="AD8" i="44"/>
  <c r="AD13" i="44" s="1"/>
  <c r="AE15" i="42"/>
  <c r="AF5" i="42"/>
  <c r="AF13" i="38"/>
  <c r="AF15" i="38" s="1"/>
  <c r="G15" i="16"/>
  <c r="H5" i="16"/>
  <c r="T170" i="6"/>
  <c r="H49" i="16"/>
  <c r="F4" i="15"/>
  <c r="E7" i="15"/>
  <c r="E13" i="15"/>
  <c r="AF5" i="50" l="1"/>
  <c r="AE15" i="50"/>
  <c r="AF13" i="48"/>
  <c r="AF15" i="48" s="1"/>
  <c r="AD15" i="44"/>
  <c r="AE5" i="44"/>
  <c r="AF8" i="42"/>
  <c r="C8" i="42" s="1"/>
  <c r="C13" i="42" s="1"/>
  <c r="H8" i="16"/>
  <c r="H13" i="16" s="1"/>
  <c r="H51" i="16"/>
  <c r="G4" i="15"/>
  <c r="F7" i="15"/>
  <c r="F13" i="15"/>
  <c r="E293" i="7"/>
  <c r="E292" i="7"/>
  <c r="E290" i="7"/>
  <c r="E289" i="7"/>
  <c r="E288" i="7"/>
  <c r="E55" i="14"/>
  <c r="E53" i="14"/>
  <c r="E52" i="14"/>
  <c r="M42" i="5"/>
  <c r="M41" i="5"/>
  <c r="M27" i="5"/>
  <c r="M26" i="5"/>
  <c r="M25" i="5"/>
  <c r="M24" i="5"/>
  <c r="M23" i="5"/>
  <c r="AF8" i="50" l="1"/>
  <c r="C8" i="50" s="1"/>
  <c r="C13" i="50" s="1"/>
  <c r="AE8" i="44"/>
  <c r="AE13" i="44" s="1"/>
  <c r="AF13" i="42"/>
  <c r="AF15" i="42" s="1"/>
  <c r="H15" i="16"/>
  <c r="L10" i="18"/>
  <c r="L9" i="18"/>
  <c r="K10" i="18"/>
  <c r="H4" i="15"/>
  <c r="G13" i="15"/>
  <c r="G7" i="15"/>
  <c r="C291" i="7"/>
  <c r="E291" i="7" s="1"/>
  <c r="C287" i="7"/>
  <c r="E287" i="7" s="1"/>
  <c r="C286" i="7"/>
  <c r="A46" i="14"/>
  <c r="C54" i="14"/>
  <c r="E54" i="14" s="1"/>
  <c r="C157" i="6"/>
  <c r="C156" i="6"/>
  <c r="C192" i="9"/>
  <c r="C191" i="9"/>
  <c r="C190" i="9"/>
  <c r="C189" i="9"/>
  <c r="I188" i="9"/>
  <c r="J189" i="9" s="1"/>
  <c r="C188" i="9"/>
  <c r="C187" i="9"/>
  <c r="C186" i="9"/>
  <c r="C185" i="9"/>
  <c r="A290" i="10"/>
  <c r="G293" i="10" s="1"/>
  <c r="E303" i="10"/>
  <c r="E305" i="10" s="1"/>
  <c r="C299" i="10"/>
  <c r="C297" i="10"/>
  <c r="C295" i="10"/>
  <c r="C294" i="10"/>
  <c r="C293" i="10"/>
  <c r="C292" i="10"/>
  <c r="C124" i="3"/>
  <c r="C123" i="3"/>
  <c r="Q130" i="3" s="1"/>
  <c r="C122" i="3"/>
  <c r="C121" i="3"/>
  <c r="AF13" i="50" l="1"/>
  <c r="AF15" i="50" s="1"/>
  <c r="AF5" i="44"/>
  <c r="AE15" i="44"/>
  <c r="K8" i="18"/>
  <c r="K9" i="18"/>
  <c r="AM80" i="16"/>
  <c r="H13" i="15"/>
  <c r="I4" i="15"/>
  <c r="H7" i="15"/>
  <c r="C295" i="7"/>
  <c r="C297" i="7" s="1"/>
  <c r="E286" i="7"/>
  <c r="E295" i="7" s="1"/>
  <c r="C303" i="10"/>
  <c r="C305" i="10" s="1"/>
  <c r="C193" i="9"/>
  <c r="C195" i="9" s="1"/>
  <c r="G49" i="14"/>
  <c r="D61" i="14"/>
  <c r="J190" i="9"/>
  <c r="D308" i="10"/>
  <c r="I297" i="10"/>
  <c r="J297" i="10"/>
  <c r="AF8" i="44" l="1"/>
  <c r="C8" i="44" s="1"/>
  <c r="C13" i="44" s="1"/>
  <c r="L8" i="18"/>
  <c r="I13" i="15"/>
  <c r="J4" i="15"/>
  <c r="I7" i="15"/>
  <c r="E39" i="14"/>
  <c r="A266" i="7"/>
  <c r="A284" i="7" s="1"/>
  <c r="A112" i="3"/>
  <c r="A120" i="3" s="1"/>
  <c r="A167" i="9"/>
  <c r="A183" i="9" s="1"/>
  <c r="G186" i="9" s="1"/>
  <c r="AF13" i="44" l="1"/>
  <c r="AF15" i="44" s="1"/>
  <c r="J13" i="15"/>
  <c r="J7" i="15"/>
  <c r="K4" i="15"/>
  <c r="A126" i="3"/>
  <c r="D299" i="7"/>
  <c r="G287" i="7"/>
  <c r="D281" i="7"/>
  <c r="E277" i="7"/>
  <c r="G269" i="7"/>
  <c r="C277" i="7"/>
  <c r="C279" i="7" s="1"/>
  <c r="G170" i="9"/>
  <c r="I172" i="9"/>
  <c r="D287" i="10"/>
  <c r="G272" i="10"/>
  <c r="A118" i="3"/>
  <c r="C116" i="3"/>
  <c r="C115" i="3"/>
  <c r="C114" i="3"/>
  <c r="C113" i="3"/>
  <c r="L4" i="15" l="1"/>
  <c r="K13" i="15"/>
  <c r="K7" i="15"/>
  <c r="J173" i="9"/>
  <c r="J174" i="9" s="1"/>
  <c r="C177" i="9"/>
  <c r="C179" i="9" s="1"/>
  <c r="E282" i="10"/>
  <c r="E284" i="10" s="1"/>
  <c r="C282" i="10"/>
  <c r="C284" i="10" s="1"/>
  <c r="E40" i="14"/>
  <c r="D43" i="14"/>
  <c r="C39" i="14"/>
  <c r="C41" i="14" s="1"/>
  <c r="G31" i="14"/>
  <c r="C147" i="6"/>
  <c r="M4" i="15" l="1"/>
  <c r="L7" i="15"/>
  <c r="L13" i="15"/>
  <c r="I276" i="10"/>
  <c r="J276" i="10"/>
  <c r="M13" i="15" l="1"/>
  <c r="N4" i="15"/>
  <c r="N7" i="15" s="1"/>
  <c r="M7" i="15"/>
  <c r="C148" i="6"/>
  <c r="C138" i="6"/>
  <c r="A107" i="3"/>
  <c r="C105" i="3"/>
  <c r="C104" i="3"/>
  <c r="C103" i="3"/>
  <c r="C102" i="3"/>
  <c r="D264" i="10"/>
  <c r="G249" i="10"/>
  <c r="G154" i="9"/>
  <c r="A141" i="6"/>
  <c r="A146" i="6" s="1"/>
  <c r="A150" i="6" s="1"/>
  <c r="A155" i="6" s="1"/>
  <c r="A159" i="6" s="1"/>
  <c r="C139" i="6"/>
  <c r="D263" i="7"/>
  <c r="G251" i="7"/>
  <c r="E21" i="14"/>
  <c r="P118" i="14"/>
  <c r="D25" i="14"/>
  <c r="C21" i="14"/>
  <c r="C23" i="14" s="1"/>
  <c r="G13" i="14"/>
  <c r="E259" i="10" l="1"/>
  <c r="E261" i="10" s="1"/>
  <c r="J253" i="10" s="1"/>
  <c r="E161" i="9"/>
  <c r="I156" i="9" s="1"/>
  <c r="C259" i="7"/>
  <c r="C261" i="7" s="1"/>
  <c r="C259" i="10"/>
  <c r="C261" i="10" s="1"/>
  <c r="C161" i="9"/>
  <c r="C163" i="9" s="1"/>
  <c r="E259" i="7"/>
  <c r="J157" i="9" l="1"/>
  <c r="J158" i="9" s="1"/>
  <c r="M13" i="13"/>
  <c r="D243" i="7"/>
  <c r="G231" i="7"/>
  <c r="A101" i="12"/>
  <c r="C99" i="12"/>
  <c r="C98" i="12"/>
  <c r="C97" i="12"/>
  <c r="T99" i="12" s="1"/>
  <c r="A128" i="6"/>
  <c r="C126" i="6"/>
  <c r="D68" i="9"/>
  <c r="D84" i="9" s="1"/>
  <c r="D100" i="9" s="1"/>
  <c r="D116" i="9" s="1"/>
  <c r="D132" i="9" s="1"/>
  <c r="D148" i="9" s="1"/>
  <c r="D164" i="9" s="1"/>
  <c r="D180" i="9" s="1"/>
  <c r="D196" i="9" s="1"/>
  <c r="G138" i="9"/>
  <c r="D243" i="10"/>
  <c r="G228" i="10"/>
  <c r="A99" i="3"/>
  <c r="C97" i="3"/>
  <c r="C96" i="3"/>
  <c r="C95" i="3"/>
  <c r="C94" i="3"/>
  <c r="S99" i="12" l="1"/>
  <c r="C239" i="7"/>
  <c r="C241" i="7" s="1"/>
  <c r="C145" i="9"/>
  <c r="C147" i="9" s="1"/>
  <c r="C240" i="10"/>
  <c r="E238" i="10"/>
  <c r="E240" i="10" s="1"/>
  <c r="E239" i="7"/>
  <c r="E145" i="9"/>
  <c r="I140" i="9" s="1"/>
  <c r="D225" i="7"/>
  <c r="G213" i="7"/>
  <c r="A93" i="12"/>
  <c r="C91" i="12"/>
  <c r="C90" i="12"/>
  <c r="C89" i="12"/>
  <c r="T91" i="12" s="1"/>
  <c r="A119" i="6"/>
  <c r="C117" i="6"/>
  <c r="G122" i="9"/>
  <c r="D222" i="10"/>
  <c r="G207" i="10"/>
  <c r="A91" i="3"/>
  <c r="C89" i="3"/>
  <c r="C88" i="3"/>
  <c r="C87" i="3"/>
  <c r="C86" i="3"/>
  <c r="S91" i="12" l="1"/>
  <c r="J235" i="7"/>
  <c r="J141" i="9"/>
  <c r="J142" i="9" s="1"/>
  <c r="J232" i="10"/>
  <c r="E129" i="9"/>
  <c r="I124" i="9" s="1"/>
  <c r="J125" i="9" s="1"/>
  <c r="J126" i="9" s="1"/>
  <c r="C221" i="7"/>
  <c r="C223" i="7" s="1"/>
  <c r="E221" i="7"/>
  <c r="C129" i="9"/>
  <c r="C131" i="9" s="1"/>
  <c r="E217" i="10"/>
  <c r="E219" i="10" s="1"/>
  <c r="C217" i="10"/>
  <c r="C219" i="10" s="1"/>
  <c r="D207" i="7"/>
  <c r="G195" i="7"/>
  <c r="A85" i="12"/>
  <c r="C83" i="12"/>
  <c r="C82" i="12"/>
  <c r="C81" i="12"/>
  <c r="A110" i="6"/>
  <c r="C108" i="6"/>
  <c r="G106" i="9"/>
  <c r="D201" i="10"/>
  <c r="G186" i="10"/>
  <c r="K13" i="13"/>
  <c r="A83" i="3"/>
  <c r="C81" i="3"/>
  <c r="C80" i="3"/>
  <c r="C79" i="3"/>
  <c r="C78" i="3"/>
  <c r="G159" i="7"/>
  <c r="D189" i="7"/>
  <c r="G177" i="7"/>
  <c r="A77" i="12"/>
  <c r="C75" i="12"/>
  <c r="C74" i="12"/>
  <c r="C73" i="12"/>
  <c r="T75" i="12" s="1"/>
  <c r="A101" i="6"/>
  <c r="C99" i="6"/>
  <c r="G90" i="9"/>
  <c r="G165" i="10"/>
  <c r="A75" i="3"/>
  <c r="C73" i="3"/>
  <c r="C72" i="3"/>
  <c r="C71" i="3"/>
  <c r="C70" i="3"/>
  <c r="V79" i="16" l="1"/>
  <c r="V82" i="16" s="1"/>
  <c r="J217" i="7"/>
  <c r="J211" i="10"/>
  <c r="E203" i="7"/>
  <c r="E196" i="10"/>
  <c r="E198" i="10" s="1"/>
  <c r="C203" i="7"/>
  <c r="C205" i="7" s="1"/>
  <c r="T83" i="12"/>
  <c r="S83" i="12"/>
  <c r="E113" i="9"/>
  <c r="I108" i="9" s="1"/>
  <c r="C113" i="9"/>
  <c r="C115" i="9" s="1"/>
  <c r="C196" i="10"/>
  <c r="C198" i="10" s="1"/>
  <c r="S75" i="12"/>
  <c r="E185" i="7"/>
  <c r="J181" i="7" s="1"/>
  <c r="E97" i="9"/>
  <c r="C185" i="7"/>
  <c r="C187" i="7" s="1"/>
  <c r="C97" i="9"/>
  <c r="C99" i="9" s="1"/>
  <c r="E175" i="10"/>
  <c r="E177" i="10" s="1"/>
  <c r="C175" i="10"/>
  <c r="C177" i="10" s="1"/>
  <c r="C20" i="5"/>
  <c r="C17" i="5"/>
  <c r="C14" i="5"/>
  <c r="C11" i="5"/>
  <c r="C7" i="5"/>
  <c r="D171" i="7"/>
  <c r="A69" i="12"/>
  <c r="C67" i="12"/>
  <c r="C66" i="12"/>
  <c r="C65" i="12"/>
  <c r="S67" i="12" s="1"/>
  <c r="A92" i="6"/>
  <c r="C90" i="6"/>
  <c r="G74" i="9"/>
  <c r="D159" i="10"/>
  <c r="G144" i="10"/>
  <c r="A67" i="3"/>
  <c r="C65" i="3"/>
  <c r="C64" i="3"/>
  <c r="C63" i="3"/>
  <c r="C62" i="3"/>
  <c r="V84" i="16" l="1"/>
  <c r="W79" i="16"/>
  <c r="W82" i="16" s="1"/>
  <c r="J199" i="7"/>
  <c r="J190" i="10"/>
  <c r="J109" i="9"/>
  <c r="J110" i="9" s="1"/>
  <c r="I92" i="9"/>
  <c r="J93" i="9" s="1"/>
  <c r="J94" i="9" s="1"/>
  <c r="J169" i="10"/>
  <c r="T67" i="12"/>
  <c r="E167" i="7"/>
  <c r="J163" i="7" s="1"/>
  <c r="C167" i="7"/>
  <c r="C169" i="7" s="1"/>
  <c r="E81" i="9"/>
  <c r="I76" i="9" s="1"/>
  <c r="E154" i="10"/>
  <c r="E156" i="10" s="1"/>
  <c r="J148" i="10" s="1"/>
  <c r="C81" i="9"/>
  <c r="C83" i="9" s="1"/>
  <c r="C154" i="10"/>
  <c r="C156" i="10" s="1"/>
  <c r="D153" i="7"/>
  <c r="G141" i="7"/>
  <c r="A61" i="12"/>
  <c r="C59" i="12"/>
  <c r="C58" i="12"/>
  <c r="C57" i="12"/>
  <c r="T59" i="12" s="1"/>
  <c r="A83" i="6"/>
  <c r="C81" i="6"/>
  <c r="G58" i="9"/>
  <c r="D138" i="10"/>
  <c r="G123" i="10"/>
  <c r="A59" i="3"/>
  <c r="C57" i="3"/>
  <c r="C56" i="3"/>
  <c r="C55" i="3"/>
  <c r="C54" i="3"/>
  <c r="W84" i="16" l="1"/>
  <c r="X79" i="16"/>
  <c r="X82" i="16" s="1"/>
  <c r="J77" i="9"/>
  <c r="J78" i="9" s="1"/>
  <c r="S59" i="12"/>
  <c r="C149" i="7"/>
  <c r="C151" i="7" s="1"/>
  <c r="E149" i="7"/>
  <c r="C65" i="9"/>
  <c r="C67" i="9" s="1"/>
  <c r="E133" i="10"/>
  <c r="E135" i="10" s="1"/>
  <c r="J127" i="10" s="1"/>
  <c r="E65" i="9"/>
  <c r="C133" i="10"/>
  <c r="C135" i="10" s="1"/>
  <c r="E131" i="7"/>
  <c r="X84" i="16" l="1"/>
  <c r="Y79" i="16"/>
  <c r="Y82" i="16" s="1"/>
  <c r="J145" i="7"/>
  <c r="I60" i="9"/>
  <c r="Y84" i="16" l="1"/>
  <c r="Z79" i="16"/>
  <c r="Z82" i="16" s="1"/>
  <c r="J61" i="9"/>
  <c r="J62" i="9" s="1"/>
  <c r="D135" i="7"/>
  <c r="G123" i="7"/>
  <c r="A53" i="12"/>
  <c r="C51" i="12"/>
  <c r="C50" i="12"/>
  <c r="C49" i="12"/>
  <c r="S51" i="12" s="1"/>
  <c r="A74" i="6"/>
  <c r="C72" i="6"/>
  <c r="D52" i="9"/>
  <c r="G42" i="9"/>
  <c r="D117" i="10"/>
  <c r="G102" i="10"/>
  <c r="A51" i="3"/>
  <c r="C49" i="3"/>
  <c r="C48" i="3"/>
  <c r="C47" i="3"/>
  <c r="C46" i="3"/>
  <c r="Z84" i="16" l="1"/>
  <c r="AA79" i="16"/>
  <c r="AA82" i="16" s="1"/>
  <c r="C131" i="7"/>
  <c r="C133" i="7" s="1"/>
  <c r="C112" i="10"/>
  <c r="C114" i="10" s="1"/>
  <c r="E112" i="10"/>
  <c r="E114" i="10" s="1"/>
  <c r="T51" i="12"/>
  <c r="E49" i="9"/>
  <c r="I44" i="9" s="1"/>
  <c r="J45" i="9" s="1"/>
  <c r="J46" i="9" s="1"/>
  <c r="J127" i="7"/>
  <c r="C49" i="9"/>
  <c r="C51" i="9" s="1"/>
  <c r="F13" i="13"/>
  <c r="F7" i="13"/>
  <c r="R14" i="3"/>
  <c r="AA84" i="16" l="1"/>
  <c r="AB79" i="16"/>
  <c r="AB82" i="16" s="1"/>
  <c r="J106" i="10"/>
  <c r="AB84" i="16" l="1"/>
  <c r="AC79" i="16"/>
  <c r="AC82" i="16" s="1"/>
  <c r="D117" i="7"/>
  <c r="E112" i="7"/>
  <c r="E111" i="7"/>
  <c r="E110" i="7"/>
  <c r="E109" i="7"/>
  <c r="E108" i="7"/>
  <c r="E107" i="7"/>
  <c r="E106" i="7"/>
  <c r="G105" i="7"/>
  <c r="E105" i="7"/>
  <c r="A45" i="12"/>
  <c r="C43" i="12"/>
  <c r="C42" i="12"/>
  <c r="C41" i="12"/>
  <c r="A65" i="6"/>
  <c r="C63" i="6"/>
  <c r="D36" i="9"/>
  <c r="G26" i="9"/>
  <c r="D96" i="10"/>
  <c r="G81" i="10"/>
  <c r="C91" i="10"/>
  <c r="C93" i="10" s="1"/>
  <c r="A43" i="3"/>
  <c r="C41" i="3"/>
  <c r="C40" i="3"/>
  <c r="C39" i="3"/>
  <c r="C38" i="3"/>
  <c r="AC84" i="16" l="1"/>
  <c r="AD79" i="16"/>
  <c r="AD82" i="16" s="1"/>
  <c r="C44" i="12"/>
  <c r="T41" i="12" s="1"/>
  <c r="C113" i="7"/>
  <c r="C115" i="7" s="1"/>
  <c r="E104" i="7"/>
  <c r="E113" i="7" s="1"/>
  <c r="E33" i="9"/>
  <c r="T43" i="12"/>
  <c r="S43" i="12"/>
  <c r="C33" i="9"/>
  <c r="C35" i="9" s="1"/>
  <c r="E91" i="10"/>
  <c r="E93" i="10" s="1"/>
  <c r="E63" i="10"/>
  <c r="E65" i="10"/>
  <c r="E67" i="10"/>
  <c r="E68" i="10"/>
  <c r="A37" i="12"/>
  <c r="C35" i="12"/>
  <c r="C34" i="12"/>
  <c r="C33" i="12"/>
  <c r="AD84" i="16" l="1"/>
  <c r="AE79" i="16"/>
  <c r="AE82" i="16" s="1"/>
  <c r="S41" i="12"/>
  <c r="T44" i="12"/>
  <c r="S45" i="12"/>
  <c r="I28" i="9"/>
  <c r="J29" i="9" s="1"/>
  <c r="J109" i="7"/>
  <c r="J85" i="10"/>
  <c r="T35" i="12"/>
  <c r="S35" i="12"/>
  <c r="D20" i="9"/>
  <c r="E16" i="9"/>
  <c r="E15" i="9"/>
  <c r="E14" i="9"/>
  <c r="E13" i="9"/>
  <c r="E12" i="9"/>
  <c r="E11" i="9"/>
  <c r="G10" i="9"/>
  <c r="E10" i="9"/>
  <c r="E9" i="9"/>
  <c r="D99" i="7"/>
  <c r="E94" i="7"/>
  <c r="E93" i="7"/>
  <c r="E92" i="7"/>
  <c r="E91" i="7"/>
  <c r="E90" i="7"/>
  <c r="E89" i="7"/>
  <c r="E88" i="7"/>
  <c r="G87" i="7"/>
  <c r="E87" i="7"/>
  <c r="E86" i="7"/>
  <c r="A56" i="6"/>
  <c r="C54" i="6"/>
  <c r="D75" i="10"/>
  <c r="E66" i="10"/>
  <c r="E64" i="10"/>
  <c r="E62" i="10"/>
  <c r="E61" i="10"/>
  <c r="G60" i="10"/>
  <c r="E60" i="10"/>
  <c r="E59" i="10"/>
  <c r="C11" i="3"/>
  <c r="A35" i="3"/>
  <c r="C33" i="3"/>
  <c r="C32" i="3"/>
  <c r="C31" i="3"/>
  <c r="C30" i="3"/>
  <c r="AE84" i="16" l="1"/>
  <c r="AF79" i="16"/>
  <c r="AF82" i="16" s="1"/>
  <c r="AF84" i="16" s="1"/>
  <c r="J30" i="9"/>
  <c r="E70" i="10"/>
  <c r="E17" i="9"/>
  <c r="E20" i="9" s="1"/>
  <c r="E36" i="9" s="1"/>
  <c r="E52" i="9" s="1"/>
  <c r="E68" i="9" s="1"/>
  <c r="E84" i="9" s="1"/>
  <c r="E100" i="9" s="1"/>
  <c r="E116" i="9" s="1"/>
  <c r="E132" i="9" s="1"/>
  <c r="E148" i="9" s="1"/>
  <c r="E164" i="9" s="1"/>
  <c r="E180" i="9" s="1"/>
  <c r="E196" i="9" s="1"/>
  <c r="E95" i="7"/>
  <c r="J91" i="7" s="1"/>
  <c r="C17" i="9"/>
  <c r="C19" i="9" s="1"/>
  <c r="C95" i="7"/>
  <c r="C97" i="7" s="1"/>
  <c r="C70" i="10"/>
  <c r="C72" i="10" s="1"/>
  <c r="E70" i="7"/>
  <c r="E71" i="7"/>
  <c r="E72" i="7"/>
  <c r="E73" i="7"/>
  <c r="E74" i="7"/>
  <c r="E75" i="7"/>
  <c r="E76" i="7"/>
  <c r="H196" i="9"/>
  <c r="I12" i="9" l="1"/>
  <c r="E26" i="10"/>
  <c r="E28" i="10" s="1"/>
  <c r="A30" i="12"/>
  <c r="C28" i="12"/>
  <c r="C27" i="12"/>
  <c r="C26" i="12"/>
  <c r="D54" i="10"/>
  <c r="E47" i="10"/>
  <c r="E46" i="10"/>
  <c r="E45" i="10"/>
  <c r="E44" i="10"/>
  <c r="E43" i="10"/>
  <c r="E42" i="10"/>
  <c r="E40" i="10"/>
  <c r="G39" i="10"/>
  <c r="A27" i="3"/>
  <c r="C25" i="3"/>
  <c r="C24" i="3"/>
  <c r="C23" i="3"/>
  <c r="C22" i="3"/>
  <c r="D81" i="7"/>
  <c r="G69" i="7"/>
  <c r="E69" i="7"/>
  <c r="G51" i="7"/>
  <c r="D63" i="7"/>
  <c r="E60" i="7"/>
  <c r="E57" i="7"/>
  <c r="E56" i="7"/>
  <c r="E55" i="7"/>
  <c r="E54" i="7"/>
  <c r="E53" i="7"/>
  <c r="E52" i="7"/>
  <c r="J13" i="9" l="1"/>
  <c r="J14" i="9" s="1"/>
  <c r="E59" i="7"/>
  <c r="J55" i="7" s="1"/>
  <c r="E49" i="10"/>
  <c r="C77" i="7"/>
  <c r="C79" i="7" s="1"/>
  <c r="E68" i="7"/>
  <c r="E77" i="7" s="1"/>
  <c r="J73" i="7" s="1"/>
  <c r="C59" i="7"/>
  <c r="C61" i="7" s="1"/>
  <c r="C49" i="10"/>
  <c r="C51" i="10" s="1"/>
  <c r="T28" i="12"/>
  <c r="S28" i="12"/>
  <c r="A47" i="6"/>
  <c r="C45" i="6"/>
  <c r="N38" i="6"/>
  <c r="N47" i="6" s="1"/>
  <c r="N56" i="6" s="1"/>
  <c r="N65" i="6" s="1"/>
  <c r="N74" i="6" s="1"/>
  <c r="N83" i="6" s="1"/>
  <c r="N92" i="6" s="1"/>
  <c r="N101" i="6" s="1"/>
  <c r="N110" i="6" s="1"/>
  <c r="N119" i="6" s="1"/>
  <c r="N128" i="6" s="1"/>
  <c r="M38" i="6"/>
  <c r="M47" i="6" s="1"/>
  <c r="M56" i="6" s="1"/>
  <c r="M65" i="6" s="1"/>
  <c r="M74" i="6" s="1"/>
  <c r="M83" i="6" s="1"/>
  <c r="M92" i="6" s="1"/>
  <c r="M101" i="6" s="1"/>
  <c r="M110" i="6" s="1"/>
  <c r="M119" i="6" s="1"/>
  <c r="M128" i="6" s="1"/>
  <c r="A38" i="6"/>
  <c r="C36" i="6"/>
  <c r="C13" i="13"/>
  <c r="L13" i="13"/>
  <c r="J13" i="13"/>
  <c r="I13" i="13"/>
  <c r="H13" i="13"/>
  <c r="G13" i="13"/>
  <c r="E13" i="13"/>
  <c r="D13" i="13"/>
  <c r="B13" i="13"/>
  <c r="N7" i="13"/>
  <c r="M7" i="13"/>
  <c r="L7" i="13"/>
  <c r="K7" i="13"/>
  <c r="J7" i="13"/>
  <c r="I7" i="13"/>
  <c r="H7" i="13"/>
  <c r="G7" i="13"/>
  <c r="E7" i="13"/>
  <c r="D7" i="13"/>
  <c r="C7" i="13"/>
  <c r="B7" i="13"/>
  <c r="M132" i="6" l="1"/>
  <c r="M141" i="6" s="1"/>
  <c r="M150" i="6" s="1"/>
  <c r="M159" i="6" s="1"/>
  <c r="M161" i="6" s="1"/>
  <c r="N132" i="6"/>
  <c r="N141" i="6" s="1"/>
  <c r="N150" i="6" s="1"/>
  <c r="N159" i="6" s="1"/>
  <c r="N161" i="6" s="1"/>
  <c r="G61" i="7"/>
  <c r="E62" i="7"/>
  <c r="J54" i="7" s="1"/>
  <c r="I57" i="7" s="1"/>
  <c r="J58" i="7" l="1"/>
  <c r="A23" i="12" l="1"/>
  <c r="C21" i="12"/>
  <c r="C20" i="12"/>
  <c r="C19" i="12"/>
  <c r="A29" i="6"/>
  <c r="C27" i="6"/>
  <c r="D31" i="10"/>
  <c r="G16" i="10"/>
  <c r="A19" i="3"/>
  <c r="C17" i="3"/>
  <c r="C16" i="3"/>
  <c r="C15" i="3"/>
  <c r="C14" i="3"/>
  <c r="T14" i="12"/>
  <c r="S14" i="12"/>
  <c r="N16" i="12"/>
  <c r="N23" i="12" s="1"/>
  <c r="N30" i="12" s="1"/>
  <c r="N37" i="12" s="1"/>
  <c r="N45" i="12" s="1"/>
  <c r="N53" i="12" s="1"/>
  <c r="N61" i="12" s="1"/>
  <c r="N69" i="12" s="1"/>
  <c r="N77" i="12" s="1"/>
  <c r="N85" i="12" s="1"/>
  <c r="N93" i="12" s="1"/>
  <c r="N101" i="12" s="1"/>
  <c r="M16" i="12"/>
  <c r="M23" i="12" s="1"/>
  <c r="M30" i="12" s="1"/>
  <c r="M37" i="12" s="1"/>
  <c r="M45" i="12" s="1"/>
  <c r="M53" i="12" s="1"/>
  <c r="M61" i="12" s="1"/>
  <c r="M69" i="12" s="1"/>
  <c r="M77" i="12" s="1"/>
  <c r="M85" i="12" s="1"/>
  <c r="M93" i="12" s="1"/>
  <c r="M101" i="12" s="1"/>
  <c r="L16" i="12"/>
  <c r="L23" i="12" s="1"/>
  <c r="L30" i="12" s="1"/>
  <c r="L37" i="12" s="1"/>
  <c r="L45" i="12" s="1"/>
  <c r="L53" i="12" s="1"/>
  <c r="L61" i="12" s="1"/>
  <c r="L69" i="12" s="1"/>
  <c r="L77" i="12" s="1"/>
  <c r="L85" i="12" s="1"/>
  <c r="L93" i="12" s="1"/>
  <c r="L101" i="12" s="1"/>
  <c r="K16" i="12"/>
  <c r="K23" i="12" s="1"/>
  <c r="K30" i="12" s="1"/>
  <c r="K37" i="12" s="1"/>
  <c r="K45" i="12" s="1"/>
  <c r="K53" i="12" s="1"/>
  <c r="K61" i="12" s="1"/>
  <c r="K69" i="12" s="1"/>
  <c r="K77" i="12" s="1"/>
  <c r="K85" i="12" s="1"/>
  <c r="K93" i="12" s="1"/>
  <c r="K101" i="12" s="1"/>
  <c r="J16" i="12"/>
  <c r="J23" i="12" s="1"/>
  <c r="J30" i="12" s="1"/>
  <c r="J37" i="12" s="1"/>
  <c r="J45" i="12" s="1"/>
  <c r="J53" i="12" s="1"/>
  <c r="J61" i="12" s="1"/>
  <c r="J69" i="12" s="1"/>
  <c r="J77" i="12" s="1"/>
  <c r="J85" i="12" s="1"/>
  <c r="J93" i="12" s="1"/>
  <c r="J101" i="12" s="1"/>
  <c r="I16" i="12"/>
  <c r="I23" i="12" s="1"/>
  <c r="I30" i="12" s="1"/>
  <c r="I37" i="12" s="1"/>
  <c r="I45" i="12" s="1"/>
  <c r="I53" i="12" s="1"/>
  <c r="I61" i="12" s="1"/>
  <c r="I69" i="12" s="1"/>
  <c r="I77" i="12" s="1"/>
  <c r="I85" i="12" s="1"/>
  <c r="I93" i="12" s="1"/>
  <c r="I101" i="12" s="1"/>
  <c r="G16" i="12"/>
  <c r="G23" i="12" s="1"/>
  <c r="G30" i="12" s="1"/>
  <c r="G37" i="12" s="1"/>
  <c r="G45" i="12" s="1"/>
  <c r="G53" i="12" s="1"/>
  <c r="G61" i="12" s="1"/>
  <c r="G69" i="12" s="1"/>
  <c r="G77" i="12" s="1"/>
  <c r="G85" i="12" s="1"/>
  <c r="G93" i="12" s="1"/>
  <c r="G101" i="12" s="1"/>
  <c r="F16" i="12"/>
  <c r="F23" i="12" s="1"/>
  <c r="F30" i="12" s="1"/>
  <c r="F37" i="12" s="1"/>
  <c r="F45" i="12" s="1"/>
  <c r="F53" i="12" s="1"/>
  <c r="F61" i="12" s="1"/>
  <c r="F69" i="12" s="1"/>
  <c r="F77" i="12" s="1"/>
  <c r="F85" i="12" s="1"/>
  <c r="F93" i="12" s="1"/>
  <c r="F101" i="12" s="1"/>
  <c r="C17" i="6"/>
  <c r="T17" i="6"/>
  <c r="C26" i="10" l="1"/>
  <c r="C28" i="10" s="1"/>
  <c r="T21" i="12"/>
  <c r="S21" i="12"/>
  <c r="S16" i="12"/>
  <c r="T15" i="12"/>
  <c r="C16" i="12"/>
  <c r="T12" i="12"/>
  <c r="S12" i="12"/>
  <c r="H11" i="6"/>
  <c r="E11" i="6" s="1"/>
  <c r="H10" i="6"/>
  <c r="H22" i="12" l="1"/>
  <c r="C22" i="12" s="1"/>
  <c r="E10" i="6"/>
  <c r="E9" i="12" s="1"/>
  <c r="E16" i="12" s="1"/>
  <c r="H9" i="12"/>
  <c r="H16" i="12" s="1"/>
  <c r="D11" i="6"/>
  <c r="D10" i="6"/>
  <c r="D9" i="12" s="1"/>
  <c r="D16" i="12" s="1"/>
  <c r="V44" i="16" l="1"/>
  <c r="E23" i="12"/>
  <c r="D23" i="12"/>
  <c r="S19" i="12"/>
  <c r="T19" i="12"/>
  <c r="T22" i="12"/>
  <c r="C23" i="12"/>
  <c r="S23" i="12"/>
  <c r="H23" i="12"/>
  <c r="V46" i="16" l="1"/>
  <c r="D30" i="12"/>
  <c r="E30" i="12"/>
  <c r="H29" i="12"/>
  <c r="C29" i="12" s="1"/>
  <c r="A16" i="12"/>
  <c r="T18" i="6"/>
  <c r="E8" i="7"/>
  <c r="V49" i="16" l="1"/>
  <c r="V51" i="16" s="1"/>
  <c r="D37" i="12"/>
  <c r="E37" i="12"/>
  <c r="H30" i="12"/>
  <c r="S26" i="12"/>
  <c r="T26" i="12"/>
  <c r="S30" i="12"/>
  <c r="T29" i="12"/>
  <c r="C30" i="12"/>
  <c r="C1153" i="12"/>
  <c r="D27" i="7"/>
  <c r="G15" i="7"/>
  <c r="A20" i="6"/>
  <c r="C18" i="6"/>
  <c r="W44" i="16" l="1"/>
  <c r="W46" i="16" s="1"/>
  <c r="E45" i="12"/>
  <c r="E53" i="12" s="1"/>
  <c r="D45" i="12"/>
  <c r="D53" i="12" s="1"/>
  <c r="H36" i="12"/>
  <c r="C36" i="12" s="1"/>
  <c r="C37" i="12" s="1"/>
  <c r="C45" i="12" s="1"/>
  <c r="C23" i="7"/>
  <c r="C25" i="7" s="1"/>
  <c r="E23" i="7"/>
  <c r="J19" i="7" s="1"/>
  <c r="W49" i="16" l="1"/>
  <c r="X44" i="16" s="1"/>
  <c r="E61" i="12"/>
  <c r="E69" i="12" s="1"/>
  <c r="E77" i="12" s="1"/>
  <c r="E85" i="12" s="1"/>
  <c r="E93" i="12" s="1"/>
  <c r="E101" i="12" s="1"/>
  <c r="D61" i="12"/>
  <c r="D69" i="12" s="1"/>
  <c r="D77" i="12" s="1"/>
  <c r="D85" i="12" s="1"/>
  <c r="D93" i="12" s="1"/>
  <c r="D101" i="12" s="1"/>
  <c r="C52" i="12"/>
  <c r="H37" i="12"/>
  <c r="H45" i="12" s="1"/>
  <c r="T33" i="12"/>
  <c r="S33" i="12"/>
  <c r="S37" i="12"/>
  <c r="T36" i="12"/>
  <c r="L20" i="6"/>
  <c r="L29" i="6" s="1"/>
  <c r="L38" i="6" s="1"/>
  <c r="L47" i="6" s="1"/>
  <c r="L56" i="6" s="1"/>
  <c r="L65" i="6" s="1"/>
  <c r="L74" i="6" s="1"/>
  <c r="L83" i="6" s="1"/>
  <c r="L92" i="6" s="1"/>
  <c r="L101" i="6" s="1"/>
  <c r="L110" i="6" s="1"/>
  <c r="L119" i="6" s="1"/>
  <c r="K20" i="6"/>
  <c r="K29" i="6" s="1"/>
  <c r="K38" i="6" s="1"/>
  <c r="K47" i="6" s="1"/>
  <c r="K56" i="6" s="1"/>
  <c r="K65" i="6" s="1"/>
  <c r="K74" i="6" s="1"/>
  <c r="K83" i="6" s="1"/>
  <c r="K92" i="6" s="1"/>
  <c r="K101" i="6" s="1"/>
  <c r="K110" i="6" s="1"/>
  <c r="K119" i="6" s="1"/>
  <c r="J20" i="6"/>
  <c r="J29" i="6" s="1"/>
  <c r="J38" i="6" s="1"/>
  <c r="J47" i="6" s="1"/>
  <c r="J56" i="6" s="1"/>
  <c r="J65" i="6" s="1"/>
  <c r="J74" i="6" s="1"/>
  <c r="J83" i="6" s="1"/>
  <c r="J92" i="6" s="1"/>
  <c r="J101" i="6" s="1"/>
  <c r="J110" i="6" s="1"/>
  <c r="J119" i="6" s="1"/>
  <c r="I20" i="6"/>
  <c r="I29" i="6" s="1"/>
  <c r="I38" i="6" s="1"/>
  <c r="I47" i="6" s="1"/>
  <c r="I56" i="6" s="1"/>
  <c r="I65" i="6" s="1"/>
  <c r="I74" i="6" s="1"/>
  <c r="I83" i="6" s="1"/>
  <c r="I92" i="6" s="1"/>
  <c r="I101" i="6" s="1"/>
  <c r="I110" i="6" s="1"/>
  <c r="I119" i="6" s="1"/>
  <c r="K19" i="3"/>
  <c r="K27" i="3" s="1"/>
  <c r="K35" i="3" s="1"/>
  <c r="K43" i="3" s="1"/>
  <c r="K51" i="3" s="1"/>
  <c r="K59" i="3" s="1"/>
  <c r="K67" i="3" s="1"/>
  <c r="K75" i="3" s="1"/>
  <c r="K83" i="3" s="1"/>
  <c r="K91" i="3" s="1"/>
  <c r="K99" i="3" s="1"/>
  <c r="K107" i="3" s="1"/>
  <c r="K118" i="3" s="1"/>
  <c r="K126" i="3" s="1"/>
  <c r="J19" i="3"/>
  <c r="J27" i="3" s="1"/>
  <c r="J35" i="3" s="1"/>
  <c r="J43" i="3" s="1"/>
  <c r="J51" i="3" s="1"/>
  <c r="J59" i="3" s="1"/>
  <c r="J67" i="3" s="1"/>
  <c r="J75" i="3" s="1"/>
  <c r="J83" i="3" s="1"/>
  <c r="J91" i="3" s="1"/>
  <c r="J99" i="3" s="1"/>
  <c r="J107" i="3" s="1"/>
  <c r="J118" i="3" s="1"/>
  <c r="J126" i="3" s="1"/>
  <c r="I19" i="3"/>
  <c r="I27" i="3" s="1"/>
  <c r="I35" i="3" s="1"/>
  <c r="I43" i="3" s="1"/>
  <c r="I51" i="3" s="1"/>
  <c r="I59" i="3" s="1"/>
  <c r="I67" i="3" s="1"/>
  <c r="I75" i="3" s="1"/>
  <c r="I83" i="3" s="1"/>
  <c r="I91" i="3" s="1"/>
  <c r="I99" i="3" s="1"/>
  <c r="I107" i="3" s="1"/>
  <c r="I118" i="3" s="1"/>
  <c r="I126" i="3" s="1"/>
  <c r="H19" i="3"/>
  <c r="H27" i="3" s="1"/>
  <c r="H35" i="3" s="1"/>
  <c r="H43" i="3" s="1"/>
  <c r="H51" i="3" s="1"/>
  <c r="H59" i="3" s="1"/>
  <c r="H67" i="3" s="1"/>
  <c r="H75" i="3" s="1"/>
  <c r="H83" i="3" s="1"/>
  <c r="H91" i="3" s="1"/>
  <c r="H99" i="3" s="1"/>
  <c r="H107" i="3" s="1"/>
  <c r="H118" i="3" s="1"/>
  <c r="H126" i="3" s="1"/>
  <c r="G19" i="3"/>
  <c r="G27" i="3" s="1"/>
  <c r="G35" i="3" s="1"/>
  <c r="G43" i="3" s="1"/>
  <c r="G51" i="3" s="1"/>
  <c r="G59" i="3" s="1"/>
  <c r="G67" i="3" s="1"/>
  <c r="G75" i="3" s="1"/>
  <c r="G83" i="3" s="1"/>
  <c r="G91" i="3" s="1"/>
  <c r="G99" i="3" s="1"/>
  <c r="G107" i="3" s="1"/>
  <c r="G118" i="3" s="1"/>
  <c r="G126" i="3" s="1"/>
  <c r="W51" i="16" l="1"/>
  <c r="X46" i="16"/>
  <c r="L128" i="6"/>
  <c r="L132" i="6" s="1"/>
  <c r="K128" i="6"/>
  <c r="J128" i="6"/>
  <c r="J132" i="6" s="1"/>
  <c r="I128" i="6"/>
  <c r="S53" i="12"/>
  <c r="C53" i="12"/>
  <c r="T52" i="12"/>
  <c r="T49" i="12"/>
  <c r="S49" i="12"/>
  <c r="H53" i="12"/>
  <c r="L11" i="3"/>
  <c r="L19" i="3" s="1"/>
  <c r="L27" i="3" s="1"/>
  <c r="L35" i="3" s="1"/>
  <c r="L43" i="3" s="1"/>
  <c r="L51" i="3" s="1"/>
  <c r="L59" i="3" s="1"/>
  <c r="L67" i="3" s="1"/>
  <c r="L75" i="3" s="1"/>
  <c r="L83" i="3" s="1"/>
  <c r="L91" i="3" s="1"/>
  <c r="L99" i="3" s="1"/>
  <c r="L107" i="3" s="1"/>
  <c r="X49" i="16" l="1"/>
  <c r="Y44" i="16" s="1"/>
  <c r="L110" i="3"/>
  <c r="L118" i="3" s="1"/>
  <c r="L126" i="3" s="1"/>
  <c r="L128" i="3" s="1"/>
  <c r="J141" i="6"/>
  <c r="L141" i="6"/>
  <c r="I132" i="6"/>
  <c r="I141" i="6" s="1"/>
  <c r="K132" i="6"/>
  <c r="C60" i="12"/>
  <c r="X51" i="16" l="1"/>
  <c r="Y46" i="16"/>
  <c r="J150" i="6"/>
  <c r="J159" i="6" s="1"/>
  <c r="L150" i="6"/>
  <c r="L159" i="6" s="1"/>
  <c r="I150" i="6"/>
  <c r="I159" i="6" s="1"/>
  <c r="K141" i="6"/>
  <c r="S57" i="12"/>
  <c r="S61" i="12"/>
  <c r="T60" i="12"/>
  <c r="T57" i="12"/>
  <c r="C61" i="12"/>
  <c r="H61" i="12"/>
  <c r="K28" i="5"/>
  <c r="K30" i="5" s="1"/>
  <c r="G31" i="5"/>
  <c r="C43" i="5"/>
  <c r="C27" i="5"/>
  <c r="C22" i="5"/>
  <c r="C30" i="5" s="1"/>
  <c r="C32" i="5" s="1"/>
  <c r="C34" i="5" s="1"/>
  <c r="Y49" i="16" l="1"/>
  <c r="Y51" i="16" s="1"/>
  <c r="K150" i="6"/>
  <c r="K159" i="6" s="1"/>
  <c r="C68" i="12"/>
  <c r="C55" i="5"/>
  <c r="C58" i="5" s="1"/>
  <c r="C60" i="5" s="1"/>
  <c r="C62" i="5" s="1"/>
  <c r="Z44" i="16" l="1"/>
  <c r="Z46" i="16" s="1"/>
  <c r="S69" i="12"/>
  <c r="T68" i="12"/>
  <c r="T65" i="12"/>
  <c r="S65" i="12"/>
  <c r="C69" i="12"/>
  <c r="H69" i="12"/>
  <c r="Z49" i="16" l="1"/>
  <c r="Z51" i="16" s="1"/>
  <c r="H76" i="12"/>
  <c r="C76" i="12" s="1"/>
  <c r="C77" i="12" s="1"/>
  <c r="H7" i="5"/>
  <c r="E9" i="7"/>
  <c r="AA44" i="16" l="1"/>
  <c r="AA46" i="16" s="1"/>
  <c r="H84" i="12"/>
  <c r="C84" i="12" s="1"/>
  <c r="H77" i="12"/>
  <c r="T76" i="12"/>
  <c r="S77" i="12"/>
  <c r="T73" i="12"/>
  <c r="S73" i="12"/>
  <c r="E25" i="7"/>
  <c r="E26" i="7"/>
  <c r="I18" i="7" s="1"/>
  <c r="G25" i="7"/>
  <c r="AA49" i="16" l="1"/>
  <c r="AB44" i="16" s="1"/>
  <c r="S81" i="12"/>
  <c r="S85" i="12"/>
  <c r="T84" i="12"/>
  <c r="T81" i="12"/>
  <c r="C85" i="12"/>
  <c r="H85" i="12"/>
  <c r="E27" i="7"/>
  <c r="E61" i="7" s="1"/>
  <c r="E63" i="7" s="1"/>
  <c r="AA51" i="16" l="1"/>
  <c r="AB46" i="16"/>
  <c r="C92" i="12"/>
  <c r="C93" i="12" s="1"/>
  <c r="E80" i="7"/>
  <c r="I72" i="7" s="1"/>
  <c r="E79" i="7"/>
  <c r="G79" i="7"/>
  <c r="I21" i="7"/>
  <c r="J22" i="7" s="1"/>
  <c r="AB49" i="16" l="1"/>
  <c r="AC44" i="16" s="1"/>
  <c r="H100" i="12"/>
  <c r="C100" i="12" s="1"/>
  <c r="T92" i="12"/>
  <c r="S93" i="12"/>
  <c r="T89" i="12"/>
  <c r="S89" i="12"/>
  <c r="H93" i="12"/>
  <c r="E81" i="7"/>
  <c r="AB51" i="16" l="1"/>
  <c r="AC46" i="16"/>
  <c r="T94" i="12"/>
  <c r="S97" i="12"/>
  <c r="C101" i="12"/>
  <c r="E7" i="14" s="1"/>
  <c r="E24" i="14" s="1"/>
  <c r="S101" i="12"/>
  <c r="T97" i="12"/>
  <c r="T100" i="12"/>
  <c r="H101" i="12"/>
  <c r="E98" i="7"/>
  <c r="I90" i="7" s="1"/>
  <c r="G97" i="7"/>
  <c r="E97" i="7"/>
  <c r="I75" i="7"/>
  <c r="J76" i="7" s="1"/>
  <c r="AC49" i="16" l="1"/>
  <c r="AC51" i="16" s="1"/>
  <c r="I16" i="14"/>
  <c r="J15" i="14"/>
  <c r="G23" i="14"/>
  <c r="E23" i="14"/>
  <c r="T102" i="12"/>
  <c r="E99" i="7"/>
  <c r="AD44" i="16" l="1"/>
  <c r="AD46" i="16" s="1"/>
  <c r="D46" i="16" s="1"/>
  <c r="I17" i="14"/>
  <c r="J17" i="14"/>
  <c r="E25" i="14"/>
  <c r="G115" i="7"/>
  <c r="E116" i="7"/>
  <c r="I108" i="7" s="1"/>
  <c r="E115" i="7"/>
  <c r="I93" i="7"/>
  <c r="J94" i="7" s="1"/>
  <c r="C1484" i="5"/>
  <c r="C1010" i="3"/>
  <c r="C1066" i="6"/>
  <c r="AD49" i="16" l="1"/>
  <c r="AE44" i="16" s="1"/>
  <c r="E42" i="14"/>
  <c r="E41" i="14"/>
  <c r="I35" i="14" s="1"/>
  <c r="G41" i="14"/>
  <c r="J19" i="14"/>
  <c r="I19" i="14"/>
  <c r="E117" i="7"/>
  <c r="N12" i="6"/>
  <c r="N20" i="6" s="1"/>
  <c r="N29" i="6" s="1"/>
  <c r="M12" i="6"/>
  <c r="M20" i="6" s="1"/>
  <c r="M29" i="6" s="1"/>
  <c r="AD51" i="16" l="1"/>
  <c r="AE46" i="16"/>
  <c r="G42" i="14"/>
  <c r="I34" i="14"/>
  <c r="J33" i="14"/>
  <c r="E43" i="14"/>
  <c r="J35" i="14"/>
  <c r="J20" i="14"/>
  <c r="G133" i="7"/>
  <c r="E134" i="7"/>
  <c r="I126" i="7" s="1"/>
  <c r="I111" i="7"/>
  <c r="J112" i="7" s="1"/>
  <c r="E133" i="7"/>
  <c r="G12" i="6"/>
  <c r="F12" i="6"/>
  <c r="AE49" i="16" l="1"/>
  <c r="AF44" i="16" s="1"/>
  <c r="AM41" i="16"/>
  <c r="AL42" i="16"/>
  <c r="AL43" i="16"/>
  <c r="K7" i="18" s="1"/>
  <c r="AM43" i="16"/>
  <c r="L7" i="18" s="1"/>
  <c r="J37" i="14"/>
  <c r="I37" i="14"/>
  <c r="E135" i="7"/>
  <c r="G20" i="6"/>
  <c r="F20" i="6"/>
  <c r="P355" i="7"/>
  <c r="F1" i="5"/>
  <c r="AE51" i="16" l="1"/>
  <c r="AM47" i="16"/>
  <c r="K6" i="18"/>
  <c r="AF46" i="16"/>
  <c r="J38" i="14"/>
  <c r="E152" i="7"/>
  <c r="I144" i="7" s="1"/>
  <c r="E151" i="7"/>
  <c r="G151" i="7"/>
  <c r="I129" i="7"/>
  <c r="J130" i="7" s="1"/>
  <c r="F29" i="6"/>
  <c r="F38" i="6"/>
  <c r="F47" i="6" s="1"/>
  <c r="F56" i="6" s="1"/>
  <c r="F65" i="6" s="1"/>
  <c r="F74" i="6" s="1"/>
  <c r="F83" i="6" s="1"/>
  <c r="F92" i="6" s="1"/>
  <c r="F101" i="6" s="1"/>
  <c r="G29" i="6"/>
  <c r="G38" i="6"/>
  <c r="G47" i="6" s="1"/>
  <c r="G56" i="6" s="1"/>
  <c r="G65" i="6" s="1"/>
  <c r="G74" i="6" s="1"/>
  <c r="G83" i="6" s="1"/>
  <c r="G92" i="6" s="1"/>
  <c r="G101" i="6" s="1"/>
  <c r="G110" i="6" s="1"/>
  <c r="G119" i="6" s="1"/>
  <c r="G128" i="6" s="1"/>
  <c r="G132" i="6" s="1"/>
  <c r="G141" i="6" s="1"/>
  <c r="G150" i="6" s="1"/>
  <c r="G42" i="5"/>
  <c r="I42" i="5" s="1"/>
  <c r="AF49" i="16" l="1"/>
  <c r="AF51" i="16" s="1"/>
  <c r="C46" i="16"/>
  <c r="C49" i="16" s="1"/>
  <c r="G159" i="6"/>
  <c r="G161" i="6" s="1"/>
  <c r="F110" i="6"/>
  <c r="F119" i="6" s="1"/>
  <c r="F128" i="6" s="1"/>
  <c r="F132" i="6" s="1"/>
  <c r="F141" i="6" s="1"/>
  <c r="F150" i="6" s="1"/>
  <c r="E153" i="7"/>
  <c r="G41" i="5"/>
  <c r="I41" i="5" s="1"/>
  <c r="G40" i="5"/>
  <c r="I40" i="5" s="1"/>
  <c r="G38" i="5"/>
  <c r="I38" i="5" s="1"/>
  <c r="F159" i="6" l="1"/>
  <c r="F161" i="6" s="1"/>
  <c r="E169" i="7"/>
  <c r="E170" i="7"/>
  <c r="I162" i="7" s="1"/>
  <c r="I147" i="7"/>
  <c r="J148" i="7" s="1"/>
  <c r="G169" i="7"/>
  <c r="G39" i="5"/>
  <c r="I39" i="5" s="1"/>
  <c r="E171" i="7" l="1"/>
  <c r="G36" i="5"/>
  <c r="I36" i="5" s="1"/>
  <c r="G33" i="5"/>
  <c r="G37" i="5"/>
  <c r="I37" i="5" s="1"/>
  <c r="E188" i="7" l="1"/>
  <c r="I180" i="7" s="1"/>
  <c r="E187" i="7"/>
  <c r="I165" i="7"/>
  <c r="J166" i="7" s="1"/>
  <c r="G187" i="7"/>
  <c r="I43" i="5"/>
  <c r="H51" i="5" s="1"/>
  <c r="G43" i="5"/>
  <c r="I31" i="5"/>
  <c r="I51" i="5" s="1"/>
  <c r="E11" i="30" s="1"/>
  <c r="E8" i="30" l="1"/>
  <c r="E189" i="7"/>
  <c r="I32" i="5"/>
  <c r="I44" i="5"/>
  <c r="G45" i="5"/>
  <c r="E205" i="7" l="1"/>
  <c r="E206" i="7"/>
  <c r="I183" i="7"/>
  <c r="J184" i="7" s="1"/>
  <c r="G205" i="7"/>
  <c r="K39" i="5"/>
  <c r="K38" i="5"/>
  <c r="AG54" i="17" l="1"/>
  <c r="U54" i="49"/>
  <c r="C54" i="49" s="1"/>
  <c r="AG54" i="49"/>
  <c r="AG54" i="47"/>
  <c r="U54" i="47"/>
  <c r="C54" i="47" s="1"/>
  <c r="AG54" i="45"/>
  <c r="U54" i="45"/>
  <c r="C54" i="45" s="1"/>
  <c r="AG54" i="43"/>
  <c r="U54" i="43"/>
  <c r="C54" i="43" s="1"/>
  <c r="U54" i="41"/>
  <c r="C54" i="41" s="1"/>
  <c r="AG54" i="41"/>
  <c r="AG54" i="40"/>
  <c r="U54" i="40"/>
  <c r="C54" i="40" s="1"/>
  <c r="AG54" i="37"/>
  <c r="U54" i="37"/>
  <c r="C54" i="37" s="1"/>
  <c r="AH54" i="35"/>
  <c r="V54" i="35"/>
  <c r="C54" i="35" s="1"/>
  <c r="AG54" i="33"/>
  <c r="U54" i="33"/>
  <c r="C54" i="33" s="1"/>
  <c r="U54" i="32"/>
  <c r="C54" i="32" s="1"/>
  <c r="AI54" i="32"/>
  <c r="U54" i="17"/>
  <c r="AG55" i="17"/>
  <c r="AG55" i="49"/>
  <c r="U55" i="49"/>
  <c r="C55" i="49" s="1"/>
  <c r="AG55" i="47"/>
  <c r="U55" i="47"/>
  <c r="C55" i="47" s="1"/>
  <c r="AG55" i="45"/>
  <c r="U55" i="45"/>
  <c r="C55" i="45" s="1"/>
  <c r="AG55" i="43"/>
  <c r="U55" i="43"/>
  <c r="C55" i="43" s="1"/>
  <c r="U55" i="41"/>
  <c r="C55" i="41" s="1"/>
  <c r="AG55" i="41"/>
  <c r="AG55" i="40"/>
  <c r="U55" i="40"/>
  <c r="C55" i="40" s="1"/>
  <c r="U55" i="37"/>
  <c r="C55" i="37" s="1"/>
  <c r="AG55" i="37"/>
  <c r="AH55" i="35"/>
  <c r="V55" i="35"/>
  <c r="C55" i="35" s="1"/>
  <c r="U55" i="33"/>
  <c r="C55" i="33" s="1"/>
  <c r="AG55" i="33"/>
  <c r="AI55" i="32"/>
  <c r="U55" i="32"/>
  <c r="C55" i="32" s="1"/>
  <c r="U55" i="17"/>
  <c r="C51" i="14"/>
  <c r="E51" i="14" s="1"/>
  <c r="M39" i="5"/>
  <c r="C50" i="14"/>
  <c r="E50" i="14" s="1"/>
  <c r="M38" i="5"/>
  <c r="E207" i="7"/>
  <c r="E223" i="7" s="1"/>
  <c r="I198" i="7"/>
  <c r="K40" i="5"/>
  <c r="M40" i="5" s="1"/>
  <c r="K37" i="5"/>
  <c r="U53" i="49" l="1"/>
  <c r="C53" i="49" s="1"/>
  <c r="AG53" i="49"/>
  <c r="U20" i="49"/>
  <c r="C20" i="49" s="1"/>
  <c r="AG53" i="47"/>
  <c r="U53" i="47"/>
  <c r="C53" i="47" s="1"/>
  <c r="U20" i="47"/>
  <c r="C20" i="47" s="1"/>
  <c r="U53" i="45"/>
  <c r="C53" i="45" s="1"/>
  <c r="AG53" i="45"/>
  <c r="U20" i="45"/>
  <c r="C20" i="45" s="1"/>
  <c r="AG53" i="43"/>
  <c r="U53" i="43"/>
  <c r="C53" i="43" s="1"/>
  <c r="U20" i="43"/>
  <c r="C20" i="43" s="1"/>
  <c r="U53" i="41"/>
  <c r="C53" i="41" s="1"/>
  <c r="AG53" i="41"/>
  <c r="U20" i="41"/>
  <c r="C20" i="41" s="1"/>
  <c r="AG53" i="40"/>
  <c r="U53" i="40"/>
  <c r="C53" i="40" s="1"/>
  <c r="U20" i="40"/>
  <c r="C20" i="40" s="1"/>
  <c r="U53" i="37"/>
  <c r="C53" i="37" s="1"/>
  <c r="AG53" i="37"/>
  <c r="U20" i="37"/>
  <c r="C20" i="37" s="1"/>
  <c r="AH53" i="35"/>
  <c r="V53" i="35"/>
  <c r="C53" i="35" s="1"/>
  <c r="V20" i="35"/>
  <c r="C20" i="35" s="1"/>
  <c r="AG53" i="33"/>
  <c r="U53" i="33"/>
  <c r="C53" i="33" s="1"/>
  <c r="U20" i="33"/>
  <c r="C20" i="33" s="1"/>
  <c r="U53" i="32"/>
  <c r="C53" i="32" s="1"/>
  <c r="AI53" i="32"/>
  <c r="U20" i="32"/>
  <c r="C20" i="32" s="1"/>
  <c r="U53" i="17"/>
  <c r="D55" i="17"/>
  <c r="C55" i="17"/>
  <c r="D54" i="17"/>
  <c r="C54" i="17"/>
  <c r="AG53" i="17"/>
  <c r="U20" i="17"/>
  <c r="C49" i="14"/>
  <c r="E49" i="14" s="1"/>
  <c r="M37" i="5"/>
  <c r="G223" i="7"/>
  <c r="I201" i="7"/>
  <c r="J202" i="7" s="1"/>
  <c r="E224" i="7"/>
  <c r="I216" i="7" s="1"/>
  <c r="M28" i="5"/>
  <c r="M29" i="5" s="1"/>
  <c r="K36" i="5"/>
  <c r="C20" i="17" l="1"/>
  <c r="D20" i="17"/>
  <c r="AG52" i="49"/>
  <c r="U52" i="49"/>
  <c r="U19" i="49"/>
  <c r="AG52" i="47"/>
  <c r="U52" i="47"/>
  <c r="U19" i="47"/>
  <c r="AG52" i="45"/>
  <c r="U52" i="45"/>
  <c r="U19" i="45"/>
  <c r="AG52" i="43"/>
  <c r="U52" i="43"/>
  <c r="U19" i="43"/>
  <c r="AG52" i="41"/>
  <c r="U52" i="41"/>
  <c r="U19" i="41"/>
  <c r="AG52" i="40"/>
  <c r="U52" i="40"/>
  <c r="U19" i="40"/>
  <c r="AG52" i="37"/>
  <c r="U52" i="37"/>
  <c r="U19" i="37"/>
  <c r="AH52" i="35"/>
  <c r="V52" i="35"/>
  <c r="V19" i="35"/>
  <c r="AG52" i="33"/>
  <c r="U52" i="33"/>
  <c r="U19" i="33"/>
  <c r="U52" i="32"/>
  <c r="AI52" i="32"/>
  <c r="U19" i="32"/>
  <c r="U52" i="17"/>
  <c r="D53" i="17"/>
  <c r="C53" i="17"/>
  <c r="AG52" i="17"/>
  <c r="U19" i="17"/>
  <c r="D19" i="17" s="1"/>
  <c r="C48" i="14"/>
  <c r="M36" i="5"/>
  <c r="M43" i="5" s="1"/>
  <c r="J51" i="5" s="1"/>
  <c r="E225" i="7"/>
  <c r="K43" i="5"/>
  <c r="K5" i="5" s="1"/>
  <c r="K51" i="5"/>
  <c r="E20" i="30" s="1"/>
  <c r="E42" i="49" l="1"/>
  <c r="E42" i="47"/>
  <c r="E42" i="45"/>
  <c r="E42" i="43"/>
  <c r="E42" i="41"/>
  <c r="E44" i="41" s="1"/>
  <c r="E47" i="41" s="1"/>
  <c r="E42" i="40"/>
  <c r="E42" i="37"/>
  <c r="E42" i="35"/>
  <c r="E44" i="35" s="1"/>
  <c r="E47" i="35" s="1"/>
  <c r="U43" i="32"/>
  <c r="U27" i="32"/>
  <c r="C27" i="32" s="1"/>
  <c r="C19" i="32"/>
  <c r="U60" i="33"/>
  <c r="C60" i="33" s="1"/>
  <c r="U76" i="33"/>
  <c r="C52" i="33"/>
  <c r="U27" i="40"/>
  <c r="C27" i="40" s="1"/>
  <c r="C19" i="40"/>
  <c r="U60" i="41"/>
  <c r="C60" i="41" s="1"/>
  <c r="U76" i="41"/>
  <c r="C76" i="41" s="1"/>
  <c r="C52" i="41"/>
  <c r="U27" i="47"/>
  <c r="C27" i="47" s="1"/>
  <c r="C19" i="47"/>
  <c r="U76" i="49"/>
  <c r="C76" i="49" s="1"/>
  <c r="U60" i="49"/>
  <c r="C60" i="49" s="1"/>
  <c r="C52" i="49"/>
  <c r="E17" i="30"/>
  <c r="J59" i="5"/>
  <c r="U27" i="37"/>
  <c r="C27" i="37" s="1"/>
  <c r="C19" i="37"/>
  <c r="U76" i="40"/>
  <c r="C76" i="40" s="1"/>
  <c r="U60" i="40"/>
  <c r="C60" i="40" s="1"/>
  <c r="C52" i="40"/>
  <c r="U27" i="45"/>
  <c r="C27" i="45" s="1"/>
  <c r="C19" i="45"/>
  <c r="U60" i="47"/>
  <c r="C60" i="47" s="1"/>
  <c r="U76" i="47"/>
  <c r="C76" i="47" s="1"/>
  <c r="C52" i="47"/>
  <c r="U60" i="32"/>
  <c r="C60" i="32" s="1"/>
  <c r="U76" i="32"/>
  <c r="C52" i="32"/>
  <c r="V43" i="35"/>
  <c r="V27" i="35"/>
  <c r="C27" i="35" s="1"/>
  <c r="C19" i="35"/>
  <c r="U76" i="37"/>
  <c r="C76" i="37" s="1"/>
  <c r="U60" i="37"/>
  <c r="C60" i="37" s="1"/>
  <c r="C52" i="37"/>
  <c r="U27" i="43"/>
  <c r="C27" i="43" s="1"/>
  <c r="C19" i="43"/>
  <c r="U60" i="45"/>
  <c r="C60" i="45" s="1"/>
  <c r="U76" i="45"/>
  <c r="C76" i="45" s="1"/>
  <c r="C52" i="45"/>
  <c r="U76" i="17"/>
  <c r="D52" i="17"/>
  <c r="U60" i="17"/>
  <c r="C52" i="17"/>
  <c r="U27" i="33"/>
  <c r="C27" i="33" s="1"/>
  <c r="U43" i="33"/>
  <c r="C19" i="33"/>
  <c r="V76" i="35"/>
  <c r="V60" i="35"/>
  <c r="C60" i="35" s="1"/>
  <c r="C52" i="35"/>
  <c r="U27" i="41"/>
  <c r="C27" i="41" s="1"/>
  <c r="C19" i="41"/>
  <c r="U60" i="43"/>
  <c r="C60" i="43" s="1"/>
  <c r="U76" i="43"/>
  <c r="C76" i="43" s="1"/>
  <c r="C52" i="43"/>
  <c r="U27" i="49"/>
  <c r="C27" i="49" s="1"/>
  <c r="C19" i="49"/>
  <c r="E42" i="33"/>
  <c r="E42" i="32"/>
  <c r="E44" i="32" s="1"/>
  <c r="E47" i="32" s="1"/>
  <c r="C19" i="17"/>
  <c r="U27" i="17"/>
  <c r="C27" i="17" s="1"/>
  <c r="C43" i="17"/>
  <c r="K20" i="18"/>
  <c r="L20" i="18"/>
  <c r="I219" i="7"/>
  <c r="J220" i="7" s="1"/>
  <c r="E42" i="17"/>
  <c r="C57" i="14"/>
  <c r="C59" i="14" s="1"/>
  <c r="E48" i="14"/>
  <c r="E57" i="14" s="1"/>
  <c r="E60" i="14" s="1"/>
  <c r="G241" i="7"/>
  <c r="E241" i="7"/>
  <c r="E242" i="7"/>
  <c r="I234" i="7" s="1"/>
  <c r="L5" i="5"/>
  <c r="M44" i="5"/>
  <c r="L51" i="5"/>
  <c r="K45" i="5"/>
  <c r="U44" i="33" l="1"/>
  <c r="U47" i="33" s="1"/>
  <c r="C43" i="33"/>
  <c r="V44" i="35"/>
  <c r="V47" i="35" s="1"/>
  <c r="C43" i="35"/>
  <c r="E49" i="35"/>
  <c r="F42" i="35"/>
  <c r="F44" i="35" s="1"/>
  <c r="F47" i="35" s="1"/>
  <c r="E44" i="43"/>
  <c r="E47" i="43"/>
  <c r="D76" i="17"/>
  <c r="C76" i="17"/>
  <c r="E44" i="37"/>
  <c r="E47" i="37" s="1"/>
  <c r="E44" i="45"/>
  <c r="E47" i="45" s="1"/>
  <c r="C76" i="35"/>
  <c r="V77" i="35"/>
  <c r="V79" i="35" s="1"/>
  <c r="U77" i="32"/>
  <c r="U79" i="32" s="1"/>
  <c r="C76" i="32"/>
  <c r="E44" i="40"/>
  <c r="E47" i="40" s="1"/>
  <c r="E44" i="47"/>
  <c r="E47" i="47"/>
  <c r="D60" i="17"/>
  <c r="C60" i="17"/>
  <c r="C76" i="33"/>
  <c r="U77" i="33"/>
  <c r="U79" i="33" s="1"/>
  <c r="U44" i="32"/>
  <c r="C43" i="32"/>
  <c r="E49" i="41"/>
  <c r="F42" i="41"/>
  <c r="F44" i="41" s="1"/>
  <c r="F47" i="41" s="1"/>
  <c r="E44" i="49"/>
  <c r="E47" i="49" s="1"/>
  <c r="E44" i="33"/>
  <c r="E47" i="33" s="1"/>
  <c r="F42" i="32"/>
  <c r="E49" i="32"/>
  <c r="E44" i="17"/>
  <c r="E47" i="17" s="1"/>
  <c r="L28" i="18"/>
  <c r="K28" i="18"/>
  <c r="D27" i="17"/>
  <c r="G59" i="14"/>
  <c r="E59" i="14"/>
  <c r="E243" i="7"/>
  <c r="H11" i="5"/>
  <c r="L11" i="5" s="1"/>
  <c r="H10" i="5"/>
  <c r="K10" i="5" s="1"/>
  <c r="F42" i="49" l="1"/>
  <c r="E49" i="49"/>
  <c r="E49" i="45"/>
  <c r="F42" i="45"/>
  <c r="E49" i="37"/>
  <c r="F42" i="37"/>
  <c r="W75" i="35"/>
  <c r="W77" i="35" s="1"/>
  <c r="W79" i="35" s="1"/>
  <c r="V81" i="35"/>
  <c r="U81" i="32"/>
  <c r="V75" i="32"/>
  <c r="F42" i="40"/>
  <c r="E49" i="40"/>
  <c r="V42" i="33"/>
  <c r="U49" i="33"/>
  <c r="W42" i="35"/>
  <c r="V49" i="35"/>
  <c r="F49" i="35"/>
  <c r="G42" i="35"/>
  <c r="U47" i="32"/>
  <c r="U49" i="32" s="1"/>
  <c r="C44" i="32"/>
  <c r="G42" i="41"/>
  <c r="F49" i="41"/>
  <c r="U81" i="33"/>
  <c r="V75" i="33"/>
  <c r="E49" i="47"/>
  <c r="F42" i="47"/>
  <c r="E49" i="43"/>
  <c r="F42" i="43"/>
  <c r="F42" i="33"/>
  <c r="F44" i="33" s="1"/>
  <c r="F47" i="33" s="1"/>
  <c r="E49" i="33"/>
  <c r="F44" i="32"/>
  <c r="F47" i="32" s="1"/>
  <c r="F42" i="17"/>
  <c r="F44" i="17" s="1"/>
  <c r="E49" i="17"/>
  <c r="I53" i="14"/>
  <c r="E61" i="14"/>
  <c r="J53" i="14"/>
  <c r="I52" i="14"/>
  <c r="J51" i="14"/>
  <c r="I237" i="7"/>
  <c r="J238" i="7" s="1"/>
  <c r="G261" i="7"/>
  <c r="I7" i="5"/>
  <c r="I14" i="5" s="1"/>
  <c r="H61" i="14"/>
  <c r="F44" i="43" l="1"/>
  <c r="F47" i="43"/>
  <c r="V77" i="33"/>
  <c r="V79" i="33" s="1"/>
  <c r="F44" i="45"/>
  <c r="F47" i="45" s="1"/>
  <c r="W44" i="35"/>
  <c r="W47" i="35" s="1"/>
  <c r="F44" i="40"/>
  <c r="F47" i="40" s="1"/>
  <c r="X75" i="35"/>
  <c r="W81" i="35"/>
  <c r="F44" i="47"/>
  <c r="F47" i="47" s="1"/>
  <c r="G44" i="35"/>
  <c r="G47" i="35" s="1"/>
  <c r="V77" i="32"/>
  <c r="V79" i="32" s="1"/>
  <c r="F44" i="37"/>
  <c r="F47" i="37" s="1"/>
  <c r="G44" i="41"/>
  <c r="G47" i="41" s="1"/>
  <c r="V44" i="33"/>
  <c r="V47" i="33" s="1"/>
  <c r="F44" i="49"/>
  <c r="F47" i="49" s="1"/>
  <c r="G42" i="33"/>
  <c r="G44" i="33" s="1"/>
  <c r="G47" i="33" s="1"/>
  <c r="F49" i="33"/>
  <c r="G42" i="32"/>
  <c r="G44" i="32" s="1"/>
  <c r="G47" i="32" s="1"/>
  <c r="F49" i="32"/>
  <c r="I50" i="5"/>
  <c r="I53" i="5" s="1"/>
  <c r="E13" i="30"/>
  <c r="I55" i="14"/>
  <c r="J55" i="14"/>
  <c r="J7" i="5"/>
  <c r="J14" i="5" s="1"/>
  <c r="E22" i="30" s="1"/>
  <c r="F49" i="45" l="1"/>
  <c r="G42" i="45"/>
  <c r="V81" i="32"/>
  <c r="Y75" i="32"/>
  <c r="V81" i="33"/>
  <c r="W75" i="33"/>
  <c r="F49" i="37"/>
  <c r="G42" i="37"/>
  <c r="W42" i="33"/>
  <c r="W44" i="33" s="1"/>
  <c r="V49" i="33"/>
  <c r="G49" i="35"/>
  <c r="H42" i="35"/>
  <c r="G42" i="40"/>
  <c r="F49" i="40"/>
  <c r="F49" i="49"/>
  <c r="G42" i="49"/>
  <c r="G49" i="41"/>
  <c r="H42" i="41"/>
  <c r="G42" i="47"/>
  <c r="F49" i="47"/>
  <c r="W49" i="35"/>
  <c r="X42" i="35"/>
  <c r="V7" i="36"/>
  <c r="C7" i="36" s="1"/>
  <c r="U7" i="34"/>
  <c r="C7" i="34" s="1"/>
  <c r="X77" i="35"/>
  <c r="X79" i="35"/>
  <c r="F49" i="43"/>
  <c r="G42" i="43"/>
  <c r="AO75" i="32"/>
  <c r="AN76" i="32"/>
  <c r="AN77" i="32"/>
  <c r="AO77" i="32"/>
  <c r="G49" i="33"/>
  <c r="H42" i="33"/>
  <c r="H42" i="32"/>
  <c r="G49" i="32"/>
  <c r="C7" i="16"/>
  <c r="E9" i="15"/>
  <c r="D4" i="31"/>
  <c r="J56" i="14"/>
  <c r="F47" i="17"/>
  <c r="E120" i="3"/>
  <c r="K50" i="5"/>
  <c r="K53" i="5" s="1"/>
  <c r="J15" i="5"/>
  <c r="H9" i="5"/>
  <c r="K9" i="5" s="1"/>
  <c r="G44" i="43" l="1"/>
  <c r="G47" i="43"/>
  <c r="G44" i="49"/>
  <c r="G47" i="49" s="1"/>
  <c r="H44" i="35"/>
  <c r="D44" i="35" s="1"/>
  <c r="G44" i="37"/>
  <c r="G47" i="37" s="1"/>
  <c r="Y77" i="32"/>
  <c r="Y79" i="32" s="1"/>
  <c r="G44" i="47"/>
  <c r="G47" i="47" s="1"/>
  <c r="AO81" i="32"/>
  <c r="Y75" i="35"/>
  <c r="X81" i="35"/>
  <c r="X44" i="35"/>
  <c r="X47" i="35"/>
  <c r="H44" i="41"/>
  <c r="D44" i="41" s="1"/>
  <c r="W77" i="33"/>
  <c r="G44" i="45"/>
  <c r="G47" i="45" s="1"/>
  <c r="U7" i="17"/>
  <c r="D7" i="17" s="1"/>
  <c r="U7" i="49"/>
  <c r="C7" i="49" s="1"/>
  <c r="U7" i="47"/>
  <c r="C7" i="47" s="1"/>
  <c r="U7" i="45"/>
  <c r="C7" i="45" s="1"/>
  <c r="U7" i="43"/>
  <c r="C7" i="43" s="1"/>
  <c r="U7" i="41"/>
  <c r="C7" i="41" s="1"/>
  <c r="U7" i="40"/>
  <c r="C7" i="40" s="1"/>
  <c r="U7" i="37"/>
  <c r="C7" i="37" s="1"/>
  <c r="V7" i="35"/>
  <c r="C7" i="35" s="1"/>
  <c r="U7" i="33"/>
  <c r="C7" i="33" s="1"/>
  <c r="U7" i="32"/>
  <c r="C7" i="32" s="1"/>
  <c r="G44" i="40"/>
  <c r="G47" i="40" s="1"/>
  <c r="W47" i="33"/>
  <c r="AM42" i="33"/>
  <c r="AL43" i="33"/>
  <c r="AM44" i="33"/>
  <c r="AL44" i="33"/>
  <c r="H44" i="33"/>
  <c r="D44" i="33" s="1"/>
  <c r="H44" i="32"/>
  <c r="D44" i="32" s="1"/>
  <c r="C7" i="17"/>
  <c r="E15" i="15"/>
  <c r="D11" i="31"/>
  <c r="P4" i="31"/>
  <c r="O4" i="31"/>
  <c r="G42" i="17"/>
  <c r="F49" i="17"/>
  <c r="E155" i="6"/>
  <c r="B9" i="13"/>
  <c r="E11" i="3"/>
  <c r="E19" i="3" s="1"/>
  <c r="K12" i="5"/>
  <c r="H50" i="5" s="1"/>
  <c r="H53" i="5" s="1"/>
  <c r="L9" i="5"/>
  <c r="L12" i="5" s="1"/>
  <c r="J50" i="5" s="1"/>
  <c r="H12" i="5"/>
  <c r="G49" i="47" l="1"/>
  <c r="H42" i="47"/>
  <c r="G49" i="45"/>
  <c r="H42" i="45"/>
  <c r="G49" i="49"/>
  <c r="H42" i="49"/>
  <c r="Y81" i="32"/>
  <c r="Z75" i="32"/>
  <c r="Z77" i="32" s="1"/>
  <c r="Z79" i="32" s="1"/>
  <c r="G49" i="40"/>
  <c r="H42" i="40"/>
  <c r="G49" i="37"/>
  <c r="H42" i="37"/>
  <c r="H47" i="32"/>
  <c r="H49" i="32" s="1"/>
  <c r="AL77" i="33"/>
  <c r="AL76" i="33"/>
  <c r="AM77" i="33"/>
  <c r="AM75" i="33"/>
  <c r="V6" i="36"/>
  <c r="U6" i="34"/>
  <c r="AM48" i="33"/>
  <c r="H47" i="41"/>
  <c r="H49" i="41" s="1"/>
  <c r="Y77" i="35"/>
  <c r="Y79" i="35"/>
  <c r="H47" i="35"/>
  <c r="H49" i="35" s="1"/>
  <c r="H42" i="43"/>
  <c r="G49" i="43"/>
  <c r="X42" i="33"/>
  <c r="X44" i="33" s="1"/>
  <c r="X47" i="33" s="1"/>
  <c r="W49" i="33"/>
  <c r="W79" i="33"/>
  <c r="X49" i="35"/>
  <c r="Y42" i="35"/>
  <c r="Y44" i="35" s="1"/>
  <c r="Y47" i="35" s="1"/>
  <c r="H47" i="33"/>
  <c r="H49" i="33" s="1"/>
  <c r="O11" i="31"/>
  <c r="P11" i="31"/>
  <c r="G44" i="17"/>
  <c r="G47" i="17" s="1"/>
  <c r="E27" i="3"/>
  <c r="D9" i="13" s="1"/>
  <c r="C9" i="13"/>
  <c r="L14" i="5"/>
  <c r="E19" i="30" s="1"/>
  <c r="J53" i="5"/>
  <c r="H14" i="5"/>
  <c r="H15" i="5" s="1"/>
  <c r="K14" i="5"/>
  <c r="E10" i="30" s="1"/>
  <c r="H47" i="37" l="1"/>
  <c r="H49" i="37" s="1"/>
  <c r="H44" i="37"/>
  <c r="D44" i="37" s="1"/>
  <c r="Z81" i="32"/>
  <c r="AA75" i="32"/>
  <c r="AA77" i="32" s="1"/>
  <c r="AA79" i="32" s="1"/>
  <c r="H44" i="45"/>
  <c r="D44" i="45" s="1"/>
  <c r="Y42" i="33"/>
  <c r="Y44" i="33" s="1"/>
  <c r="Y47" i="33" s="1"/>
  <c r="X49" i="33"/>
  <c r="Y81" i="35"/>
  <c r="Z75" i="35"/>
  <c r="Z77" i="35" s="1"/>
  <c r="Z79" i="35" s="1"/>
  <c r="U8" i="34"/>
  <c r="U13" i="34" s="1"/>
  <c r="C6" i="34"/>
  <c r="AM81" i="33"/>
  <c r="Z42" i="35"/>
  <c r="Z44" i="35" s="1"/>
  <c r="Z47" i="35" s="1"/>
  <c r="Y49" i="35"/>
  <c r="V8" i="36"/>
  <c r="V13" i="36" s="1"/>
  <c r="C6" i="36"/>
  <c r="H44" i="40"/>
  <c r="D44" i="40" s="1"/>
  <c r="H47" i="40"/>
  <c r="H49" i="40" s="1"/>
  <c r="H44" i="49"/>
  <c r="D44" i="49" s="1"/>
  <c r="H44" i="47"/>
  <c r="D44" i="47" s="1"/>
  <c r="U6" i="17"/>
  <c r="D6" i="17" s="1"/>
  <c r="U6" i="49"/>
  <c r="U6" i="47"/>
  <c r="U6" i="45"/>
  <c r="U6" i="43"/>
  <c r="U6" i="41"/>
  <c r="U6" i="40"/>
  <c r="U6" i="37"/>
  <c r="V6" i="35"/>
  <c r="U6" i="33"/>
  <c r="U6" i="32"/>
  <c r="W81" i="33"/>
  <c r="X75" i="33"/>
  <c r="X77" i="33" s="1"/>
  <c r="X79" i="33" s="1"/>
  <c r="H44" i="43"/>
  <c r="D44" i="43" s="1"/>
  <c r="C6" i="17"/>
  <c r="E14" i="15"/>
  <c r="D10" i="31"/>
  <c r="H42" i="17"/>
  <c r="G49" i="17"/>
  <c r="L16" i="18"/>
  <c r="K16" i="18"/>
  <c r="D155" i="6"/>
  <c r="C155" i="6" s="1"/>
  <c r="E35" i="3"/>
  <c r="C124" i="6"/>
  <c r="S127" i="6" s="1"/>
  <c r="C106" i="6"/>
  <c r="T109" i="6" s="1"/>
  <c r="C115" i="6"/>
  <c r="C88" i="6"/>
  <c r="T91" i="6" s="1"/>
  <c r="C70" i="6"/>
  <c r="T73" i="6" s="1"/>
  <c r="C52" i="6"/>
  <c r="S55" i="6" s="1"/>
  <c r="C25" i="6"/>
  <c r="C16" i="6"/>
  <c r="K54" i="5"/>
  <c r="L15" i="5"/>
  <c r="L50" i="5"/>
  <c r="L52" i="5" s="1"/>
  <c r="E8" i="15"/>
  <c r="V15" i="36" l="1"/>
  <c r="W5" i="36"/>
  <c r="W8" i="36" s="1"/>
  <c r="W13" i="36" s="1"/>
  <c r="U15" i="34"/>
  <c r="V5" i="34"/>
  <c r="V8" i="34" s="1"/>
  <c r="V13" i="34" s="1"/>
  <c r="H47" i="43"/>
  <c r="H49" i="43" s="1"/>
  <c r="U8" i="32"/>
  <c r="U13" i="32" s="1"/>
  <c r="C6" i="32"/>
  <c r="U13" i="40"/>
  <c r="C6" i="40"/>
  <c r="U13" i="47"/>
  <c r="C6" i="47"/>
  <c r="H47" i="47"/>
  <c r="H49" i="47" s="1"/>
  <c r="AA81" i="32"/>
  <c r="AB75" i="32"/>
  <c r="AB77" i="32" s="1"/>
  <c r="AB79" i="32" s="1"/>
  <c r="U8" i="33"/>
  <c r="U13" i="33" s="1"/>
  <c r="C6" i="33"/>
  <c r="U13" i="41"/>
  <c r="C6" i="41"/>
  <c r="U13" i="49"/>
  <c r="C6" i="49"/>
  <c r="Z49" i="35"/>
  <c r="AA42" i="35"/>
  <c r="AA44" i="35" s="1"/>
  <c r="AA47" i="35" s="1"/>
  <c r="Z42" i="33"/>
  <c r="Z44" i="33" s="1"/>
  <c r="Z47" i="33" s="1"/>
  <c r="Y49" i="33"/>
  <c r="X81" i="33"/>
  <c r="Y75" i="33"/>
  <c r="Y77" i="33" s="1"/>
  <c r="Y79" i="33" s="1"/>
  <c r="V8" i="35"/>
  <c r="V13" i="35" s="1"/>
  <c r="C6" i="35"/>
  <c r="U13" i="43"/>
  <c r="C6" i="43"/>
  <c r="H47" i="49"/>
  <c r="H49" i="49" s="1"/>
  <c r="AA75" i="35"/>
  <c r="AA77" i="35" s="1"/>
  <c r="AA79" i="35" s="1"/>
  <c r="Z81" i="35"/>
  <c r="H47" i="45"/>
  <c r="H49" i="45" s="1"/>
  <c r="U13" i="37"/>
  <c r="C6" i="37"/>
  <c r="U13" i="45"/>
  <c r="C6" i="45"/>
  <c r="C6" i="16"/>
  <c r="AL8" i="16"/>
  <c r="K5" i="18" s="1"/>
  <c r="AM8" i="16"/>
  <c r="L5" i="18" s="1"/>
  <c r="D3" i="31"/>
  <c r="O10" i="31"/>
  <c r="O12" i="31" s="1"/>
  <c r="P10" i="31"/>
  <c r="P12" i="31" s="1"/>
  <c r="D12" i="31"/>
  <c r="E16" i="15"/>
  <c r="H44" i="17"/>
  <c r="H47" i="17" s="1"/>
  <c r="D120" i="3"/>
  <c r="C120" i="3" s="1"/>
  <c r="E43" i="3"/>
  <c r="E9" i="13"/>
  <c r="S158" i="6"/>
  <c r="T176" i="6" s="1"/>
  <c r="T158" i="6"/>
  <c r="T127" i="6"/>
  <c r="C146" i="6"/>
  <c r="S149" i="6" s="1"/>
  <c r="C101" i="3"/>
  <c r="R104" i="3" s="1"/>
  <c r="C137" i="6"/>
  <c r="S109" i="6"/>
  <c r="C85" i="3"/>
  <c r="Q88" i="3" s="1"/>
  <c r="C93" i="3"/>
  <c r="S118" i="6"/>
  <c r="T118" i="6"/>
  <c r="C77" i="3"/>
  <c r="S91" i="6"/>
  <c r="C97" i="6"/>
  <c r="S100" i="6" s="1"/>
  <c r="C61" i="3"/>
  <c r="R64" i="3" s="1"/>
  <c r="T55" i="6"/>
  <c r="S73" i="6"/>
  <c r="C53" i="3"/>
  <c r="C79" i="6"/>
  <c r="C45" i="3"/>
  <c r="C29" i="3"/>
  <c r="Q32" i="3" s="1"/>
  <c r="C61" i="6"/>
  <c r="C43" i="6"/>
  <c r="C13" i="3"/>
  <c r="C21" i="3"/>
  <c r="C34" i="6"/>
  <c r="S37" i="6" s="1"/>
  <c r="T19" i="6"/>
  <c r="S19" i="6"/>
  <c r="I54" i="5"/>
  <c r="G57" i="5" s="1"/>
  <c r="L53" i="5"/>
  <c r="L54" i="5" s="1"/>
  <c r="U15" i="33" l="1"/>
  <c r="V5" i="33"/>
  <c r="V8" i="33" s="1"/>
  <c r="V13" i="33" s="1"/>
  <c r="U15" i="37"/>
  <c r="V5" i="37"/>
  <c r="V13" i="37" s="1"/>
  <c r="W5" i="35"/>
  <c r="W8" i="35" s="1"/>
  <c r="W13" i="35" s="1"/>
  <c r="V15" i="35"/>
  <c r="AA42" i="33"/>
  <c r="AA44" i="33" s="1"/>
  <c r="AA47" i="33" s="1"/>
  <c r="Z49" i="33"/>
  <c r="V5" i="49"/>
  <c r="V13" i="49" s="1"/>
  <c r="U15" i="49"/>
  <c r="V5" i="40"/>
  <c r="V13" i="40" s="1"/>
  <c r="U15" i="40"/>
  <c r="V15" i="34"/>
  <c r="W5" i="34"/>
  <c r="Y81" i="33"/>
  <c r="Z75" i="33"/>
  <c r="Z77" i="33" s="1"/>
  <c r="Z79" i="33" s="1"/>
  <c r="AA49" i="35"/>
  <c r="AB42" i="35"/>
  <c r="AB44" i="35" s="1"/>
  <c r="AB47" i="35" s="1"/>
  <c r="U15" i="45"/>
  <c r="V5" i="45"/>
  <c r="V13" i="45" s="1"/>
  <c r="U15" i="43"/>
  <c r="V5" i="43"/>
  <c r="V13" i="43" s="1"/>
  <c r="V5" i="41"/>
  <c r="V13" i="41" s="1"/>
  <c r="U15" i="41"/>
  <c r="AC75" i="32"/>
  <c r="AC77" i="32" s="1"/>
  <c r="AC79" i="32" s="1"/>
  <c r="AB81" i="32"/>
  <c r="U15" i="47"/>
  <c r="V5" i="47"/>
  <c r="V13" i="47" s="1"/>
  <c r="W5" i="32"/>
  <c r="U15" i="32"/>
  <c r="X5" i="36"/>
  <c r="X8" i="36" s="1"/>
  <c r="X13" i="36" s="1"/>
  <c r="W15" i="36"/>
  <c r="AA81" i="35"/>
  <c r="AB75" i="35"/>
  <c r="AB77" i="35" s="1"/>
  <c r="AB79" i="35" s="1"/>
  <c r="O3" i="31"/>
  <c r="O5" i="31" s="1"/>
  <c r="P3" i="31"/>
  <c r="P5" i="31" s="1"/>
  <c r="D5" i="31"/>
  <c r="F16" i="15"/>
  <c r="H49" i="17"/>
  <c r="E51" i="3"/>
  <c r="F9" i="13"/>
  <c r="Q104" i="3"/>
  <c r="Q123" i="3"/>
  <c r="R139" i="3" s="1"/>
  <c r="R123" i="3"/>
  <c r="T149" i="6"/>
  <c r="C112" i="3"/>
  <c r="T140" i="6"/>
  <c r="S140" i="6"/>
  <c r="R88" i="3"/>
  <c r="R96" i="3"/>
  <c r="Q96" i="3"/>
  <c r="Q64" i="3"/>
  <c r="Q80" i="3"/>
  <c r="R80" i="3"/>
  <c r="T100" i="6"/>
  <c r="C69" i="3"/>
  <c r="R72" i="3" s="1"/>
  <c r="T82" i="6"/>
  <c r="S82" i="6"/>
  <c r="Q56" i="3"/>
  <c r="R56" i="3"/>
  <c r="R32" i="3"/>
  <c r="Q48" i="3"/>
  <c r="R48" i="3"/>
  <c r="C37" i="3"/>
  <c r="T64" i="6"/>
  <c r="S64" i="6"/>
  <c r="S46" i="6"/>
  <c r="T46" i="6"/>
  <c r="R24" i="3"/>
  <c r="Q24" i="3"/>
  <c r="R16" i="3"/>
  <c r="C37" i="6"/>
  <c r="T34" i="6" s="1"/>
  <c r="Q16" i="3"/>
  <c r="W5" i="47" l="1"/>
  <c r="W13" i="47" s="1"/>
  <c r="V15" i="47"/>
  <c r="W5" i="45"/>
  <c r="W13" i="45" s="1"/>
  <c r="V15" i="45"/>
  <c r="Z81" i="33"/>
  <c r="AA75" i="33"/>
  <c r="AA77" i="33" s="1"/>
  <c r="AA79" i="33" s="1"/>
  <c r="V15" i="37"/>
  <c r="W5" i="37"/>
  <c r="W13" i="37" s="1"/>
  <c r="Y5" i="36"/>
  <c r="Y8" i="36" s="1"/>
  <c r="Y13" i="36" s="1"/>
  <c r="X15" i="36"/>
  <c r="V15" i="41"/>
  <c r="W5" i="41"/>
  <c r="W13" i="41" s="1"/>
  <c r="V15" i="40"/>
  <c r="W5" i="40"/>
  <c r="W13" i="40" s="1"/>
  <c r="AB42" i="33"/>
  <c r="AB44" i="33" s="1"/>
  <c r="AB47" i="33" s="1"/>
  <c r="AA49" i="33"/>
  <c r="AB81" i="35"/>
  <c r="AC75" i="35"/>
  <c r="AC77" i="35" s="1"/>
  <c r="AC79" i="35" s="1"/>
  <c r="V15" i="43"/>
  <c r="W5" i="43"/>
  <c r="W13" i="43" s="1"/>
  <c r="AC42" i="35"/>
  <c r="AC44" i="35" s="1"/>
  <c r="AC47" i="35" s="1"/>
  <c r="AB49" i="35"/>
  <c r="W8" i="34"/>
  <c r="W13" i="34" s="1"/>
  <c r="V15" i="33"/>
  <c r="W5" i="33"/>
  <c r="W8" i="32"/>
  <c r="X8" i="32" s="1"/>
  <c r="X13" i="32" s="1"/>
  <c r="AC81" i="32"/>
  <c r="AD75" i="32"/>
  <c r="AD77" i="32" s="1"/>
  <c r="AD79" i="32" s="1"/>
  <c r="W5" i="49"/>
  <c r="W13" i="49" s="1"/>
  <c r="V15" i="49"/>
  <c r="X5" i="35"/>
  <c r="X8" i="35" s="1"/>
  <c r="X13" i="35" s="1"/>
  <c r="W15" i="35"/>
  <c r="G16" i="15"/>
  <c r="E59" i="3"/>
  <c r="G9" i="13"/>
  <c r="Q115" i="3"/>
  <c r="R115" i="3"/>
  <c r="Q72" i="3"/>
  <c r="R40" i="3"/>
  <c r="Q40" i="3"/>
  <c r="B8" i="13"/>
  <c r="B10" i="13" s="1"/>
  <c r="D11" i="3"/>
  <c r="D19" i="3" s="1"/>
  <c r="X5" i="34" l="1"/>
  <c r="X8" i="34" s="1"/>
  <c r="X13" i="34" s="1"/>
  <c r="W15" i="34"/>
  <c r="W13" i="32"/>
  <c r="X5" i="43"/>
  <c r="X8" i="43" s="1"/>
  <c r="X13" i="43" s="1"/>
  <c r="W15" i="43"/>
  <c r="X5" i="41"/>
  <c r="X8" i="41" s="1"/>
  <c r="X13" i="41" s="1"/>
  <c r="W15" i="41"/>
  <c r="X5" i="37"/>
  <c r="X8" i="37" s="1"/>
  <c r="W15" i="37"/>
  <c r="X5" i="49"/>
  <c r="X8" i="49" s="1"/>
  <c r="X13" i="49" s="1"/>
  <c r="W15" i="49"/>
  <c r="AL6" i="34"/>
  <c r="AM7" i="34"/>
  <c r="AM5" i="34"/>
  <c r="AL7" i="34"/>
  <c r="AC42" i="33"/>
  <c r="AC44" i="33" s="1"/>
  <c r="AC47" i="33" s="1"/>
  <c r="AB49" i="33"/>
  <c r="W15" i="45"/>
  <c r="X5" i="45"/>
  <c r="X8" i="45" s="1"/>
  <c r="X13" i="45" s="1"/>
  <c r="AD81" i="32"/>
  <c r="AE75" i="32"/>
  <c r="AE77" i="32" s="1"/>
  <c r="AE79" i="32" s="1"/>
  <c r="W8" i="33"/>
  <c r="W13" i="33"/>
  <c r="AC81" i="35"/>
  <c r="AD75" i="35"/>
  <c r="AD77" i="35" s="1"/>
  <c r="AD79" i="35" s="1"/>
  <c r="W15" i="40"/>
  <c r="X5" i="40"/>
  <c r="X8" i="40" s="1"/>
  <c r="X13" i="40" s="1"/>
  <c r="AA81" i="33"/>
  <c r="AB75" i="33"/>
  <c r="AB77" i="33" s="1"/>
  <c r="AB79" i="33" s="1"/>
  <c r="X15" i="35"/>
  <c r="Y5" i="35"/>
  <c r="Y8" i="35" s="1"/>
  <c r="Y13" i="35" s="1"/>
  <c r="AC49" i="35"/>
  <c r="AD42" i="35"/>
  <c r="AD44" i="35" s="1"/>
  <c r="AD47" i="35" s="1"/>
  <c r="Y15" i="36"/>
  <c r="Z5" i="36"/>
  <c r="Z8" i="36" s="1"/>
  <c r="Z13" i="36" s="1"/>
  <c r="X5" i="47"/>
  <c r="X8" i="47" s="1"/>
  <c r="X13" i="47" s="1"/>
  <c r="W15" i="47"/>
  <c r="H16" i="15"/>
  <c r="E67" i="3"/>
  <c r="H9" i="13"/>
  <c r="D27" i="3"/>
  <c r="C8" i="13"/>
  <c r="C10" i="13" s="1"/>
  <c r="X15" i="47" l="1"/>
  <c r="Y5" i="47"/>
  <c r="Y8" i="47" s="1"/>
  <c r="Y13" i="47" s="1"/>
  <c r="AC49" i="33"/>
  <c r="AD42" i="33"/>
  <c r="AD44" i="33" s="1"/>
  <c r="AD47" i="33" s="1"/>
  <c r="AM11" i="34"/>
  <c r="X13" i="37"/>
  <c r="AL6" i="37"/>
  <c r="AM5" i="37"/>
  <c r="AM7" i="37"/>
  <c r="AL7" i="37"/>
  <c r="X15" i="43"/>
  <c r="Y5" i="43"/>
  <c r="Y8" i="43" s="1"/>
  <c r="Y13" i="43" s="1"/>
  <c r="Z15" i="36"/>
  <c r="AA5" i="36"/>
  <c r="AA8" i="36" s="1"/>
  <c r="AA13" i="36" s="1"/>
  <c r="Y5" i="45"/>
  <c r="X15" i="45"/>
  <c r="W15" i="32"/>
  <c r="Y5" i="32"/>
  <c r="Y8" i="32" s="1"/>
  <c r="Y13" i="32" s="1"/>
  <c r="Z5" i="35"/>
  <c r="Z8" i="35" s="1"/>
  <c r="Z13" i="35" s="1"/>
  <c r="Y15" i="35"/>
  <c r="AZ35" i="35"/>
  <c r="AZ32" i="35"/>
  <c r="AL7" i="33"/>
  <c r="AL6" i="33"/>
  <c r="AM7" i="33"/>
  <c r="AM5" i="33"/>
  <c r="Y5" i="49"/>
  <c r="Y8" i="49" s="1"/>
  <c r="Y13" i="49" s="1"/>
  <c r="X15" i="49"/>
  <c r="Y5" i="41"/>
  <c r="Y8" i="41" s="1"/>
  <c r="Y13" i="41" s="1"/>
  <c r="X15" i="41"/>
  <c r="X15" i="40"/>
  <c r="Y5" i="40"/>
  <c r="Y8" i="40" s="1"/>
  <c r="W15" i="33"/>
  <c r="X5" i="33"/>
  <c r="X8" i="33" s="1"/>
  <c r="X13" i="33" s="1"/>
  <c r="AD49" i="35"/>
  <c r="AE42" i="35"/>
  <c r="AE44" i="35" s="1"/>
  <c r="AE47" i="35" s="1"/>
  <c r="AB81" i="33"/>
  <c r="AC75" i="33"/>
  <c r="AD81" i="35"/>
  <c r="AE75" i="35"/>
  <c r="AE77" i="35" s="1"/>
  <c r="AE79" i="35" s="1"/>
  <c r="AF75" i="32"/>
  <c r="AF77" i="32" s="1"/>
  <c r="AF79" i="32" s="1"/>
  <c r="AE81" i="32"/>
  <c r="Y5" i="34"/>
  <c r="Y8" i="34" s="1"/>
  <c r="Y13" i="34" s="1"/>
  <c r="X15" i="34"/>
  <c r="I16" i="15"/>
  <c r="E75" i="3"/>
  <c r="I9" i="13"/>
  <c r="D35" i="3"/>
  <c r="D8" i="13"/>
  <c r="D10" i="13" s="1"/>
  <c r="E12" i="6"/>
  <c r="E20" i="6" s="1"/>
  <c r="Y15" i="34" l="1"/>
  <c r="Z5" i="34"/>
  <c r="Z8" i="34" s="1"/>
  <c r="Z13" i="34" s="1"/>
  <c r="Y15" i="41"/>
  <c r="Z5" i="41"/>
  <c r="Z8" i="41" s="1"/>
  <c r="AE81" i="35"/>
  <c r="AF75" i="35"/>
  <c r="AF77" i="35" s="1"/>
  <c r="AF79" i="35" s="1"/>
  <c r="AE49" i="35"/>
  <c r="AF42" i="35"/>
  <c r="AF44" i="35" s="1"/>
  <c r="AF47" i="35" s="1"/>
  <c r="Y13" i="40"/>
  <c r="AL7" i="40"/>
  <c r="AM5" i="40"/>
  <c r="AL6" i="40"/>
  <c r="AM7" i="40"/>
  <c r="AM11" i="33"/>
  <c r="Y15" i="43"/>
  <c r="Z5" i="43"/>
  <c r="Z8" i="43" s="1"/>
  <c r="Z13" i="43" s="1"/>
  <c r="AE42" i="33"/>
  <c r="AE44" i="33" s="1"/>
  <c r="AE47" i="33" s="1"/>
  <c r="AD49" i="33"/>
  <c r="Z5" i="49"/>
  <c r="Y15" i="49"/>
  <c r="AA5" i="35"/>
  <c r="AA8" i="35" s="1"/>
  <c r="AA13" i="35" s="1"/>
  <c r="Z15" i="35"/>
  <c r="Y8" i="45"/>
  <c r="Y13" i="45"/>
  <c r="AM11" i="37"/>
  <c r="AC79" i="33"/>
  <c r="AC77" i="33"/>
  <c r="Y5" i="33"/>
  <c r="Y8" i="33" s="1"/>
  <c r="Y13" i="33" s="1"/>
  <c r="X15" i="33"/>
  <c r="Z5" i="32"/>
  <c r="Z8" i="32" s="1"/>
  <c r="Z13" i="32" s="1"/>
  <c r="Y15" i="32"/>
  <c r="AB5" i="36"/>
  <c r="AB8" i="36" s="1"/>
  <c r="AB13" i="36" s="1"/>
  <c r="AA15" i="36"/>
  <c r="Y5" i="37"/>
  <c r="Y8" i="37" s="1"/>
  <c r="Y13" i="37" s="1"/>
  <c r="X15" i="37"/>
  <c r="Z5" i="47"/>
  <c r="Z8" i="47" s="1"/>
  <c r="Z13" i="47" s="1"/>
  <c r="Y15" i="47"/>
  <c r="AG75" i="32"/>
  <c r="AG77" i="32" s="1"/>
  <c r="AG79" i="32" s="1"/>
  <c r="AF81" i="32"/>
  <c r="J16" i="15"/>
  <c r="E109" i="3"/>
  <c r="E83" i="3"/>
  <c r="J9" i="13"/>
  <c r="D43" i="3"/>
  <c r="E8" i="13"/>
  <c r="E10" i="13" s="1"/>
  <c r="E38" i="6"/>
  <c r="E47" i="6" s="1"/>
  <c r="B15" i="13"/>
  <c r="E29" i="6"/>
  <c r="AC5" i="36" l="1"/>
  <c r="AC8" i="36" s="1"/>
  <c r="AC13" i="36" s="1"/>
  <c r="AB15" i="36"/>
  <c r="AA5" i="43"/>
  <c r="Z15" i="43"/>
  <c r="AM11" i="40"/>
  <c r="AF49" i="35"/>
  <c r="AG42" i="35"/>
  <c r="Z13" i="41"/>
  <c r="AM7" i="41"/>
  <c r="AM5" i="41"/>
  <c r="AL7" i="41"/>
  <c r="AL6" i="41"/>
  <c r="Z15" i="47"/>
  <c r="AA5" i="47"/>
  <c r="AA8" i="47" s="1"/>
  <c r="AA13" i="47" s="1"/>
  <c r="Z5" i="33"/>
  <c r="Z8" i="33" s="1"/>
  <c r="Z13" i="33" s="1"/>
  <c r="Y15" i="33"/>
  <c r="Z5" i="45"/>
  <c r="Y15" i="45"/>
  <c r="Z13" i="49"/>
  <c r="Z8" i="49"/>
  <c r="AH75" i="32"/>
  <c r="AG81" i="32"/>
  <c r="Z5" i="37"/>
  <c r="Z8" i="37" s="1"/>
  <c r="Z13" i="37" s="1"/>
  <c r="Y15" i="37"/>
  <c r="AA5" i="32"/>
  <c r="AA8" i="32" s="1"/>
  <c r="AA13" i="32" s="1"/>
  <c r="Z15" i="32"/>
  <c r="AC81" i="33"/>
  <c r="AD75" i="33"/>
  <c r="AD77" i="33" s="1"/>
  <c r="AD79" i="33" s="1"/>
  <c r="AF81" i="35"/>
  <c r="AG75" i="35"/>
  <c r="AA5" i="34"/>
  <c r="AA8" i="34" s="1"/>
  <c r="AA13" i="34" s="1"/>
  <c r="Z15" i="34"/>
  <c r="AA15" i="35"/>
  <c r="AB5" i="35"/>
  <c r="AB8" i="35" s="1"/>
  <c r="AB13" i="35" s="1"/>
  <c r="AF42" i="33"/>
  <c r="AE49" i="33"/>
  <c r="Y15" i="40"/>
  <c r="Z5" i="40"/>
  <c r="Z8" i="40" s="1"/>
  <c r="Z13" i="40" s="1"/>
  <c r="K16" i="15"/>
  <c r="E91" i="3"/>
  <c r="K9" i="13"/>
  <c r="C15" i="13"/>
  <c r="D51" i="3"/>
  <c r="F8" i="13"/>
  <c r="F10" i="13" s="1"/>
  <c r="E56" i="6"/>
  <c r="D15" i="13"/>
  <c r="F11" i="3"/>
  <c r="D12" i="6"/>
  <c r="D20" i="6" s="1"/>
  <c r="AE75" i="33" l="1"/>
  <c r="AE77" i="33" s="1"/>
  <c r="AE79" i="33" s="1"/>
  <c r="AD81" i="33"/>
  <c r="AM11" i="41"/>
  <c r="AA5" i="41"/>
  <c r="AA8" i="41" s="1"/>
  <c r="AA13" i="41" s="1"/>
  <c r="Z15" i="41"/>
  <c r="AA15" i="34"/>
  <c r="AB5" i="34"/>
  <c r="AB8" i="34" s="1"/>
  <c r="AB13" i="34" s="1"/>
  <c r="AA5" i="37"/>
  <c r="AA8" i="37" s="1"/>
  <c r="AA13" i="37" s="1"/>
  <c r="Z15" i="37"/>
  <c r="Z15" i="49"/>
  <c r="AA5" i="49"/>
  <c r="AA8" i="49" s="1"/>
  <c r="AA13" i="49" s="1"/>
  <c r="Z15" i="33"/>
  <c r="AA5" i="33"/>
  <c r="AA8" i="33" s="1"/>
  <c r="AA13" i="33" s="1"/>
  <c r="AG44" i="35"/>
  <c r="C44" i="35" s="1"/>
  <c r="AG47" i="35"/>
  <c r="AG49" i="35" s="1"/>
  <c r="AA8" i="43"/>
  <c r="AF44" i="33"/>
  <c r="C44" i="33" s="1"/>
  <c r="AF47" i="33"/>
  <c r="AF49" i="33" s="1"/>
  <c r="AA5" i="40"/>
  <c r="AA8" i="40" s="1"/>
  <c r="AA13" i="40" s="1"/>
  <c r="Z15" i="40"/>
  <c r="AC5" i="35"/>
  <c r="AC8" i="35" s="1"/>
  <c r="AC13" i="35" s="1"/>
  <c r="AB15" i="35"/>
  <c r="AG77" i="35"/>
  <c r="C77" i="35" s="1"/>
  <c r="AB5" i="47"/>
  <c r="AB8" i="47" s="1"/>
  <c r="AB13" i="47" s="1"/>
  <c r="AA15" i="47"/>
  <c r="AA15" i="32"/>
  <c r="AB5" i="32"/>
  <c r="AH77" i="32"/>
  <c r="C77" i="32" s="1"/>
  <c r="Z8" i="45"/>
  <c r="Z13" i="45" s="1"/>
  <c r="AC15" i="36"/>
  <c r="AD5" i="36"/>
  <c r="AD8" i="36" s="1"/>
  <c r="AD13" i="36" s="1"/>
  <c r="L16" i="15"/>
  <c r="D59" i="3"/>
  <c r="G8" i="13"/>
  <c r="G10" i="13" s="1"/>
  <c r="E99" i="3"/>
  <c r="L9" i="13"/>
  <c r="E15" i="13"/>
  <c r="E65" i="6"/>
  <c r="E74" i="6" s="1"/>
  <c r="D38" i="6"/>
  <c r="D47" i="6" s="1"/>
  <c r="B14" i="13"/>
  <c r="B16" i="13" s="1"/>
  <c r="D29" i="6"/>
  <c r="AA5" i="45" l="1"/>
  <c r="AA8" i="45" s="1"/>
  <c r="AA13" i="45" s="1"/>
  <c r="Z15" i="45"/>
  <c r="AB5" i="40"/>
  <c r="AB8" i="40" s="1"/>
  <c r="AB13" i="40" s="1"/>
  <c r="AA15" i="40"/>
  <c r="AM5" i="43"/>
  <c r="AM7" i="43"/>
  <c r="AL7" i="43"/>
  <c r="AL6" i="43"/>
  <c r="AB5" i="37"/>
  <c r="AB8" i="37" s="1"/>
  <c r="AB13" i="37" s="1"/>
  <c r="AA15" i="37"/>
  <c r="AA15" i="41"/>
  <c r="AB5" i="41"/>
  <c r="AB8" i="41" s="1"/>
  <c r="AB13" i="41" s="1"/>
  <c r="AD15" i="36"/>
  <c r="AE5" i="36"/>
  <c r="AE8" i="36" s="1"/>
  <c r="AE13" i="36" s="1"/>
  <c r="AH79" i="32"/>
  <c r="AH81" i="32" s="1"/>
  <c r="AA15" i="49"/>
  <c r="AB5" i="49"/>
  <c r="AB8" i="49" s="1"/>
  <c r="AB13" i="49" s="1"/>
  <c r="AB15" i="34"/>
  <c r="AC5" i="34"/>
  <c r="AC8" i="34" s="1"/>
  <c r="AC13" i="34" s="1"/>
  <c r="AC5" i="47"/>
  <c r="AC8" i="47" s="1"/>
  <c r="AB15" i="47"/>
  <c r="AD5" i="35"/>
  <c r="AD8" i="35" s="1"/>
  <c r="AD13" i="35" s="1"/>
  <c r="AC15" i="35"/>
  <c r="AB8" i="32"/>
  <c r="AB13" i="32" s="1"/>
  <c r="AG79" i="35"/>
  <c r="AG81" i="35" s="1"/>
  <c r="AA13" i="43"/>
  <c r="AB5" i="33"/>
  <c r="AB8" i="33" s="1"/>
  <c r="AB13" i="33" s="1"/>
  <c r="AA15" i="33"/>
  <c r="AE81" i="33"/>
  <c r="AF75" i="33"/>
  <c r="N16" i="15"/>
  <c r="M16" i="15"/>
  <c r="D67" i="3"/>
  <c r="H8" i="13"/>
  <c r="H10" i="13" s="1"/>
  <c r="N8" i="13"/>
  <c r="E107" i="3"/>
  <c r="M9" i="13"/>
  <c r="G15" i="13"/>
  <c r="E83" i="6"/>
  <c r="E92" i="6" s="1"/>
  <c r="E101" i="6" s="1"/>
  <c r="E131" i="6" s="1"/>
  <c r="F15" i="13"/>
  <c r="C14" i="13"/>
  <c r="C16" i="13" s="1"/>
  <c r="D56" i="6"/>
  <c r="D14" i="13"/>
  <c r="D16" i="13" s="1"/>
  <c r="E9" i="10"/>
  <c r="F19" i="3"/>
  <c r="AC5" i="32" l="1"/>
  <c r="AB15" i="32"/>
  <c r="AC5" i="33"/>
  <c r="AC8" i="33" s="1"/>
  <c r="AC13" i="33" s="1"/>
  <c r="AB15" i="33"/>
  <c r="AC13" i="47"/>
  <c r="AM5" i="47"/>
  <c r="AL6" i="47"/>
  <c r="AM7" i="47"/>
  <c r="AL7" i="47"/>
  <c r="AB15" i="41"/>
  <c r="AC5" i="41"/>
  <c r="AC8" i="41" s="1"/>
  <c r="AC13" i="41" s="1"/>
  <c r="AM11" i="43"/>
  <c r="AF77" i="33"/>
  <c r="C77" i="33" s="1"/>
  <c r="AA15" i="43"/>
  <c r="AB5" i="43"/>
  <c r="AB8" i="43" s="1"/>
  <c r="AB13" i="43" s="1"/>
  <c r="AD5" i="34"/>
  <c r="AD8" i="34" s="1"/>
  <c r="AD13" i="34" s="1"/>
  <c r="AC15" i="34"/>
  <c r="AC5" i="40"/>
  <c r="AC8" i="40" s="1"/>
  <c r="AC13" i="40" s="1"/>
  <c r="AB15" i="40"/>
  <c r="AF5" i="36"/>
  <c r="AF8" i="36" s="1"/>
  <c r="AF13" i="36" s="1"/>
  <c r="AE15" i="36"/>
  <c r="AE5" i="35"/>
  <c r="AE8" i="35" s="1"/>
  <c r="AE13" i="35" s="1"/>
  <c r="AD15" i="35"/>
  <c r="AC5" i="49"/>
  <c r="AC8" i="49" s="1"/>
  <c r="AC13" i="49" s="1"/>
  <c r="AB15" i="49"/>
  <c r="AC5" i="37"/>
  <c r="AC8" i="37" s="1"/>
  <c r="AC13" i="37" s="1"/>
  <c r="AB15" i="37"/>
  <c r="AA15" i="45"/>
  <c r="AB5" i="45"/>
  <c r="E110" i="3"/>
  <c r="E118" i="3" s="1"/>
  <c r="D75" i="3"/>
  <c r="I8" i="13"/>
  <c r="I10" i="13" s="1"/>
  <c r="E110" i="6"/>
  <c r="I15" i="13"/>
  <c r="J15" i="13"/>
  <c r="H15" i="13"/>
  <c r="E14" i="13"/>
  <c r="E16" i="13" s="1"/>
  <c r="D65" i="6"/>
  <c r="D74" i="6" s="1"/>
  <c r="E10" i="10"/>
  <c r="E30" i="10" s="1"/>
  <c r="C18" i="3"/>
  <c r="C19" i="3" s="1"/>
  <c r="AC5" i="43" l="1"/>
  <c r="AC8" i="43" s="1"/>
  <c r="AC13" i="43" s="1"/>
  <c r="AB15" i="43"/>
  <c r="AC15" i="37"/>
  <c r="AD5" i="37"/>
  <c r="AD8" i="37" s="1"/>
  <c r="AD13" i="37" s="1"/>
  <c r="AD5" i="40"/>
  <c r="AD8" i="40" s="1"/>
  <c r="AD13" i="40" s="1"/>
  <c r="AC15" i="40"/>
  <c r="AC15" i="41"/>
  <c r="AD5" i="41"/>
  <c r="AD8" i="41" s="1"/>
  <c r="AD13" i="41" s="1"/>
  <c r="AM11" i="47"/>
  <c r="AD5" i="33"/>
  <c r="AD8" i="33" s="1"/>
  <c r="AD13" i="33" s="1"/>
  <c r="AC15" i="33"/>
  <c r="AE15" i="35"/>
  <c r="AF5" i="35"/>
  <c r="AF8" i="35" s="1"/>
  <c r="AF13" i="35" s="1"/>
  <c r="AB8" i="45"/>
  <c r="AB13" i="45" s="1"/>
  <c r="AF79" i="33"/>
  <c r="AF81" i="33" s="1"/>
  <c r="AD5" i="49"/>
  <c r="AC15" i="49"/>
  <c r="AG5" i="36"/>
  <c r="AF15" i="36"/>
  <c r="AE5" i="34"/>
  <c r="AE8" i="34" s="1"/>
  <c r="AE13" i="34" s="1"/>
  <c r="AD15" i="34"/>
  <c r="AC15" i="47"/>
  <c r="AD5" i="47"/>
  <c r="AD8" i="47" s="1"/>
  <c r="AD13" i="47" s="1"/>
  <c r="AC8" i="32"/>
  <c r="AC13" i="32" s="1"/>
  <c r="E126" i="3"/>
  <c r="E128" i="3" s="1"/>
  <c r="D109" i="3"/>
  <c r="D83" i="3"/>
  <c r="J8" i="13"/>
  <c r="J10" i="13" s="1"/>
  <c r="K15" i="13"/>
  <c r="E119" i="6"/>
  <c r="G14" i="13"/>
  <c r="G16" i="13" s="1"/>
  <c r="D83" i="6"/>
  <c r="D92" i="6" s="1"/>
  <c r="D101" i="6" s="1"/>
  <c r="F14" i="13"/>
  <c r="F16" i="13" s="1"/>
  <c r="E29" i="10"/>
  <c r="G29" i="10"/>
  <c r="R17" i="3"/>
  <c r="R18" i="3"/>
  <c r="Q18" i="3"/>
  <c r="AD5" i="32" l="1"/>
  <c r="AC15" i="32"/>
  <c r="AB15" i="45"/>
  <c r="AC5" i="45"/>
  <c r="AC8" i="45" s="1"/>
  <c r="AC13" i="45" s="1"/>
  <c r="AE5" i="47"/>
  <c r="AE8" i="47" s="1"/>
  <c r="AE13" i="47" s="1"/>
  <c r="AD15" i="47"/>
  <c r="AD15" i="41"/>
  <c r="AE5" i="41"/>
  <c r="AE8" i="41" s="1"/>
  <c r="AE13" i="41" s="1"/>
  <c r="AE5" i="37"/>
  <c r="AE8" i="37" s="1"/>
  <c r="AE13" i="37" s="1"/>
  <c r="AD15" i="37"/>
  <c r="AG8" i="36"/>
  <c r="C8" i="36" s="1"/>
  <c r="C13" i="36" s="1"/>
  <c r="AG13" i="36"/>
  <c r="AG15" i="36" s="1"/>
  <c r="AM7" i="45"/>
  <c r="AL7" i="45"/>
  <c r="AL6" i="45"/>
  <c r="AM5" i="45"/>
  <c r="AE5" i="33"/>
  <c r="AE8" i="33" s="1"/>
  <c r="AE13" i="33" s="1"/>
  <c r="AD15" i="33"/>
  <c r="AF5" i="34"/>
  <c r="AE15" i="34"/>
  <c r="AD8" i="49"/>
  <c r="AG5" i="35"/>
  <c r="AF15" i="35"/>
  <c r="AE5" i="40"/>
  <c r="AE8" i="40" s="1"/>
  <c r="AE13" i="40" s="1"/>
  <c r="AD15" i="40"/>
  <c r="AC15" i="43"/>
  <c r="AD5" i="43"/>
  <c r="AD8" i="43" s="1"/>
  <c r="AD13" i="43" s="1"/>
  <c r="D91" i="3"/>
  <c r="K8" i="13"/>
  <c r="K10" i="13" s="1"/>
  <c r="D110" i="6"/>
  <c r="D119" i="6" s="1"/>
  <c r="D131" i="6"/>
  <c r="L15" i="13"/>
  <c r="E128" i="6"/>
  <c r="E132" i="6" s="1"/>
  <c r="E141" i="6" s="1"/>
  <c r="I14" i="13"/>
  <c r="I16" i="13" s="1"/>
  <c r="J14" i="13"/>
  <c r="J16" i="13" s="1"/>
  <c r="H14" i="13"/>
  <c r="H16" i="13" s="1"/>
  <c r="E31" i="10"/>
  <c r="E33" i="10" s="1"/>
  <c r="E50" i="10" s="1"/>
  <c r="E51" i="10" s="1"/>
  <c r="Q15" i="3"/>
  <c r="F27" i="3"/>
  <c r="R15" i="3"/>
  <c r="J23" i="10"/>
  <c r="AE15" i="33" l="1"/>
  <c r="AF5" i="33"/>
  <c r="AE5" i="43"/>
  <c r="AE8" i="43" s="1"/>
  <c r="AE13" i="43" s="1"/>
  <c r="AD15" i="43"/>
  <c r="AF5" i="41"/>
  <c r="AE15" i="41"/>
  <c r="AD5" i="45"/>
  <c r="AD8" i="45" s="1"/>
  <c r="AD13" i="45" s="1"/>
  <c r="AC15" i="45"/>
  <c r="AM5" i="49"/>
  <c r="AL7" i="49"/>
  <c r="AM7" i="49"/>
  <c r="AL6" i="49"/>
  <c r="AG8" i="35"/>
  <c r="C8" i="35" s="1"/>
  <c r="AG13" i="35"/>
  <c r="AG15" i="35" s="1"/>
  <c r="AF8" i="34"/>
  <c r="C8" i="34" s="1"/>
  <c r="C13" i="34" s="1"/>
  <c r="AM11" i="45"/>
  <c r="AE15" i="40"/>
  <c r="AF5" i="40"/>
  <c r="AD13" i="49"/>
  <c r="AF5" i="37"/>
  <c r="AE15" i="37"/>
  <c r="AE15" i="47"/>
  <c r="AF5" i="47"/>
  <c r="AD8" i="32"/>
  <c r="AD13" i="32" s="1"/>
  <c r="K14" i="13"/>
  <c r="K16" i="13" s="1"/>
  <c r="E150" i="6"/>
  <c r="E159" i="6" s="1"/>
  <c r="E161" i="6" s="1"/>
  <c r="D99" i="3"/>
  <c r="L8" i="13"/>
  <c r="L10" i="13" s="1"/>
  <c r="M15" i="13"/>
  <c r="L14" i="13"/>
  <c r="L16" i="13" s="1"/>
  <c r="D128" i="6"/>
  <c r="D132" i="6" s="1"/>
  <c r="D141" i="6" s="1"/>
  <c r="E52" i="10"/>
  <c r="J43" i="10"/>
  <c r="R19" i="3"/>
  <c r="C26" i="3"/>
  <c r="C27" i="3" s="1"/>
  <c r="AD15" i="32" l="1"/>
  <c r="AE5" i="32"/>
  <c r="AF8" i="47"/>
  <c r="C8" i="47" s="1"/>
  <c r="AE5" i="49"/>
  <c r="AE8" i="49" s="1"/>
  <c r="AE13" i="49" s="1"/>
  <c r="AD15" i="49"/>
  <c r="AF13" i="34"/>
  <c r="AF15" i="34" s="1"/>
  <c r="AM11" i="49"/>
  <c r="AE5" i="45"/>
  <c r="AE8" i="45" s="1"/>
  <c r="AE13" i="45" s="1"/>
  <c r="AD15" i="45"/>
  <c r="AF5" i="43"/>
  <c r="AE15" i="43"/>
  <c r="AF8" i="33"/>
  <c r="C8" i="33" s="1"/>
  <c r="AF8" i="40"/>
  <c r="C8" i="40" s="1"/>
  <c r="AF8" i="37"/>
  <c r="C8" i="37" s="1"/>
  <c r="AF8" i="41"/>
  <c r="C8" i="41" s="1"/>
  <c r="D150" i="6"/>
  <c r="C16" i="15" s="1"/>
  <c r="B16" i="15"/>
  <c r="D107" i="3"/>
  <c r="M8" i="13"/>
  <c r="M10" i="13" s="1"/>
  <c r="D159" i="6"/>
  <c r="D161" i="6" s="1"/>
  <c r="D16" i="15" s="1"/>
  <c r="M14" i="13"/>
  <c r="M16" i="13" s="1"/>
  <c r="E53" i="10"/>
  <c r="I42" i="10" s="1"/>
  <c r="G52" i="10"/>
  <c r="F35" i="3"/>
  <c r="F43" i="3" s="1"/>
  <c r="Q23" i="3"/>
  <c r="Q26" i="3"/>
  <c r="R26" i="3"/>
  <c r="R25" i="3"/>
  <c r="AF13" i="41" l="1"/>
  <c r="AF15" i="41" s="1"/>
  <c r="AF13" i="40"/>
  <c r="AF15" i="40" s="1"/>
  <c r="AF13" i="47"/>
  <c r="AF15" i="47" s="1"/>
  <c r="AF8" i="43"/>
  <c r="C8" i="43" s="1"/>
  <c r="AF13" i="37"/>
  <c r="AF15" i="37" s="1"/>
  <c r="AF13" i="33"/>
  <c r="AF15" i="33" s="1"/>
  <c r="AE8" i="32"/>
  <c r="AE13" i="32" s="1"/>
  <c r="AF5" i="45"/>
  <c r="AE15" i="45"/>
  <c r="AE15" i="49"/>
  <c r="AF5" i="49"/>
  <c r="D110" i="3"/>
  <c r="D118" i="3" s="1"/>
  <c r="E54" i="10"/>
  <c r="C34" i="3"/>
  <c r="C35" i="3" s="1"/>
  <c r="J41" i="10"/>
  <c r="R23" i="3"/>
  <c r="R27" i="3" s="1"/>
  <c r="AF5" i="32" l="1"/>
  <c r="AF8" i="32" s="1"/>
  <c r="AF13" i="32" s="1"/>
  <c r="AE15" i="32"/>
  <c r="AF8" i="45"/>
  <c r="C8" i="45" s="1"/>
  <c r="AF8" i="49"/>
  <c r="C8" i="49" s="1"/>
  <c r="AF13" i="43"/>
  <c r="AF15" i="43" s="1"/>
  <c r="B10" i="15"/>
  <c r="D126" i="3"/>
  <c r="D128" i="3" s="1"/>
  <c r="D10" i="15" s="1"/>
  <c r="C10" i="15"/>
  <c r="I45" i="10"/>
  <c r="J46" i="10" s="1"/>
  <c r="E72" i="10"/>
  <c r="J64" i="10" s="1"/>
  <c r="R34" i="3"/>
  <c r="Q34" i="3"/>
  <c r="R33" i="3"/>
  <c r="AF13" i="45" l="1"/>
  <c r="AF15" i="45" s="1"/>
  <c r="AF13" i="49"/>
  <c r="AF15" i="49" s="1"/>
  <c r="AG5" i="32"/>
  <c r="AG8" i="32" s="1"/>
  <c r="AG13" i="32" s="1"/>
  <c r="AF15" i="32"/>
  <c r="E10" i="15"/>
  <c r="E73" i="10"/>
  <c r="E74" i="10"/>
  <c r="I63" i="10" s="1"/>
  <c r="C42" i="3"/>
  <c r="C43" i="3" s="1"/>
  <c r="F51" i="3" s="1"/>
  <c r="G73" i="10"/>
  <c r="Q31" i="3"/>
  <c r="R31" i="3"/>
  <c r="AH5" i="32" l="1"/>
  <c r="AG15" i="32"/>
  <c r="F10" i="15"/>
  <c r="E75" i="10"/>
  <c r="I66" i="10" s="1"/>
  <c r="Q42" i="3"/>
  <c r="R42" i="3"/>
  <c r="R41" i="3"/>
  <c r="J62" i="10"/>
  <c r="R35" i="3"/>
  <c r="AH8" i="32" l="1"/>
  <c r="C8" i="32" s="1"/>
  <c r="G10" i="15"/>
  <c r="E95" i="10"/>
  <c r="I84" i="10" s="1"/>
  <c r="E94" i="10"/>
  <c r="J67" i="10"/>
  <c r="C50" i="3"/>
  <c r="C51" i="3" s="1"/>
  <c r="F59" i="3" s="1"/>
  <c r="G94" i="10"/>
  <c r="R39" i="3"/>
  <c r="Q39" i="3"/>
  <c r="AH13" i="32" l="1"/>
  <c r="AH15" i="32" s="1"/>
  <c r="H10" i="15"/>
  <c r="E96" i="10"/>
  <c r="I87" i="10" s="1"/>
  <c r="R49" i="3"/>
  <c r="Q50" i="3"/>
  <c r="R50" i="3"/>
  <c r="R43" i="3"/>
  <c r="J83" i="10"/>
  <c r="H12" i="6"/>
  <c r="I10" i="15" l="1"/>
  <c r="G115" i="10"/>
  <c r="E116" i="10"/>
  <c r="J104" i="10" s="1"/>
  <c r="E115" i="10"/>
  <c r="C58" i="3"/>
  <c r="C59" i="3" s="1"/>
  <c r="R47" i="3"/>
  <c r="Q47" i="3"/>
  <c r="J88" i="10"/>
  <c r="H20" i="6"/>
  <c r="H38" i="6" s="1"/>
  <c r="AM10" i="16" l="1"/>
  <c r="J10" i="15"/>
  <c r="F67" i="3"/>
  <c r="I105" i="10"/>
  <c r="E117" i="10"/>
  <c r="E137" i="10" s="1"/>
  <c r="R57" i="3"/>
  <c r="R58" i="3"/>
  <c r="Q58" i="3"/>
  <c r="R51" i="3"/>
  <c r="C19" i="6"/>
  <c r="K10" i="15" l="1"/>
  <c r="G136" i="10"/>
  <c r="C66" i="3"/>
  <c r="C67" i="3" s="1"/>
  <c r="F75" i="3" s="1"/>
  <c r="F109" i="3" s="1"/>
  <c r="C109" i="3" s="1"/>
  <c r="I108" i="10"/>
  <c r="J109" i="10" s="1"/>
  <c r="E136" i="10"/>
  <c r="E138" i="10" s="1"/>
  <c r="J125" i="10"/>
  <c r="I126" i="10"/>
  <c r="R55" i="3"/>
  <c r="Q55" i="3"/>
  <c r="S16" i="6"/>
  <c r="T20" i="6"/>
  <c r="S20" i="6"/>
  <c r="S21" i="6"/>
  <c r="L10" i="15" l="1"/>
  <c r="Q113" i="3"/>
  <c r="E265" i="10"/>
  <c r="G157" i="10"/>
  <c r="E157" i="10"/>
  <c r="E158" i="10"/>
  <c r="I129" i="10"/>
  <c r="J130" i="10" s="1"/>
  <c r="Q66" i="3"/>
  <c r="R66" i="3"/>
  <c r="R65" i="3"/>
  <c r="R59" i="3"/>
  <c r="C12" i="6"/>
  <c r="N10" i="15" l="1"/>
  <c r="M10" i="15"/>
  <c r="C74" i="3"/>
  <c r="E159" i="10"/>
  <c r="E179" i="10" s="1"/>
  <c r="J146" i="10"/>
  <c r="I147" i="10"/>
  <c r="R63" i="3"/>
  <c r="Q63" i="3"/>
  <c r="C20" i="6"/>
  <c r="C38" i="6" s="1"/>
  <c r="C75" i="3" l="1"/>
  <c r="R73" i="3"/>
  <c r="E178" i="10"/>
  <c r="I150" i="10"/>
  <c r="J151" i="10" s="1"/>
  <c r="G178" i="10"/>
  <c r="Q74" i="3"/>
  <c r="R74" i="3"/>
  <c r="R67" i="3"/>
  <c r="H46" i="6"/>
  <c r="H47" i="6" s="1"/>
  <c r="T16" i="6"/>
  <c r="T22" i="6" s="1"/>
  <c r="F83" i="3" l="1"/>
  <c r="E180" i="10"/>
  <c r="E199" i="10" s="1"/>
  <c r="I168" i="10"/>
  <c r="J167" i="10"/>
  <c r="R71" i="3"/>
  <c r="Q71" i="3"/>
  <c r="C46" i="6"/>
  <c r="C47" i="6" s="1"/>
  <c r="C28" i="6"/>
  <c r="S38" i="6" s="1"/>
  <c r="T40" i="6" s="1"/>
  <c r="H29" i="6"/>
  <c r="U47" i="17" l="1"/>
  <c r="U49" i="17" s="1"/>
  <c r="I171" i="10"/>
  <c r="J172" i="10" s="1"/>
  <c r="G199" i="10"/>
  <c r="E200" i="10"/>
  <c r="C82" i="3"/>
  <c r="C83" i="3" s="1"/>
  <c r="R75" i="3"/>
  <c r="H55" i="6"/>
  <c r="S47" i="6"/>
  <c r="T47" i="6"/>
  <c r="S48" i="6"/>
  <c r="C29" i="6"/>
  <c r="V42" i="17" l="1"/>
  <c r="E201" i="10"/>
  <c r="E221" i="10" s="1"/>
  <c r="J188" i="10"/>
  <c r="I189" i="10"/>
  <c r="Q82" i="3"/>
  <c r="R82" i="3"/>
  <c r="R81" i="3"/>
  <c r="C55" i="6"/>
  <c r="H56" i="6"/>
  <c r="S43" i="6"/>
  <c r="T43" i="6"/>
  <c r="U5" i="17" l="1"/>
  <c r="I192" i="10"/>
  <c r="J193" i="10" s="1"/>
  <c r="G220" i="10"/>
  <c r="E220" i="10"/>
  <c r="C90" i="3"/>
  <c r="F91" i="3"/>
  <c r="Q79" i="3"/>
  <c r="R79" i="3"/>
  <c r="C56" i="6"/>
  <c r="H64" i="6" s="1"/>
  <c r="H65" i="6" s="1"/>
  <c r="H74" i="6" s="1"/>
  <c r="S56" i="6"/>
  <c r="T56" i="6"/>
  <c r="S57" i="6"/>
  <c r="T49" i="6"/>
  <c r="T31" i="6"/>
  <c r="V47" i="17" l="1"/>
  <c r="W42" i="17" s="1"/>
  <c r="E222" i="10"/>
  <c r="E242" i="10" s="1"/>
  <c r="I210" i="10"/>
  <c r="J209" i="10"/>
  <c r="Q90" i="3"/>
  <c r="R90" i="3"/>
  <c r="R89" i="3"/>
  <c r="C91" i="3"/>
  <c r="R83" i="3"/>
  <c r="C64" i="6"/>
  <c r="C65" i="6" s="1"/>
  <c r="S52" i="6"/>
  <c r="T52" i="6"/>
  <c r="V49" i="17" l="1"/>
  <c r="U13" i="17"/>
  <c r="V5" i="17" s="1"/>
  <c r="I213" i="10"/>
  <c r="J214" i="10" s="1"/>
  <c r="G241" i="10"/>
  <c r="E241" i="10"/>
  <c r="R87" i="3"/>
  <c r="Q87" i="3"/>
  <c r="T65" i="6"/>
  <c r="T66" i="6"/>
  <c r="S66" i="6"/>
  <c r="S65" i="6"/>
  <c r="C73" i="6"/>
  <c r="C74" i="6" s="1"/>
  <c r="S61" i="6"/>
  <c r="T61" i="6"/>
  <c r="T58" i="6"/>
  <c r="W47" i="17" l="1"/>
  <c r="X42" i="17" s="1"/>
  <c r="X44" i="17" s="1"/>
  <c r="U15" i="17"/>
  <c r="E243" i="10"/>
  <c r="E263" i="10" s="1"/>
  <c r="I231" i="10"/>
  <c r="J230" i="10"/>
  <c r="C98" i="3"/>
  <c r="F99" i="3"/>
  <c r="N9" i="13" s="1"/>
  <c r="N10" i="13" s="1"/>
  <c r="R91" i="3"/>
  <c r="T74" i="6"/>
  <c r="S75" i="6"/>
  <c r="T75" i="6"/>
  <c r="S74" i="6"/>
  <c r="T67" i="6"/>
  <c r="W49" i="17" l="1"/>
  <c r="V13" i="17"/>
  <c r="V15" i="17" s="1"/>
  <c r="X47" i="17"/>
  <c r="I234" i="10"/>
  <c r="J235" i="10" s="1"/>
  <c r="G262" i="10"/>
  <c r="E262" i="10"/>
  <c r="Q98" i="3"/>
  <c r="R98" i="3"/>
  <c r="R97" i="3"/>
  <c r="C99" i="3"/>
  <c r="C82" i="6"/>
  <c r="C83" i="6" s="1"/>
  <c r="H83" i="6"/>
  <c r="S70" i="6"/>
  <c r="T70" i="6"/>
  <c r="W5" i="17" l="1"/>
  <c r="X49" i="17"/>
  <c r="Y42" i="17"/>
  <c r="E264" i="10"/>
  <c r="J251" i="10"/>
  <c r="I252" i="10"/>
  <c r="R95" i="3"/>
  <c r="Q95" i="3"/>
  <c r="C91" i="6"/>
  <c r="C92" i="6" s="1"/>
  <c r="H100" i="6" s="1"/>
  <c r="S84" i="6"/>
  <c r="T83" i="6"/>
  <c r="S83" i="6"/>
  <c r="T84" i="6"/>
  <c r="T76" i="6"/>
  <c r="W13" i="17" l="1"/>
  <c r="X5" i="17" s="1"/>
  <c r="X8" i="17" s="1"/>
  <c r="Y44" i="17"/>
  <c r="E266" i="10"/>
  <c r="G285" i="10" s="1"/>
  <c r="I255" i="10"/>
  <c r="J256" i="10" s="1"/>
  <c r="C106" i="3"/>
  <c r="F107" i="3"/>
  <c r="F110" i="3" s="1"/>
  <c r="F118" i="3" s="1"/>
  <c r="R99" i="3"/>
  <c r="C100" i="6"/>
  <c r="C101" i="6" s="1"/>
  <c r="H92" i="6"/>
  <c r="S88" i="6"/>
  <c r="T88" i="6"/>
  <c r="T92" i="6"/>
  <c r="S93" i="6"/>
  <c r="T93" i="6"/>
  <c r="S92" i="6"/>
  <c r="S79" i="6"/>
  <c r="T79" i="6"/>
  <c r="Y47" i="17" l="1"/>
  <c r="Z42" i="17" s="1"/>
  <c r="W15" i="17"/>
  <c r="E286" i="10"/>
  <c r="I275" i="10" s="1"/>
  <c r="E285" i="10"/>
  <c r="Q106" i="3"/>
  <c r="R106" i="3"/>
  <c r="R105" i="3"/>
  <c r="C107" i="3"/>
  <c r="C110" i="3" s="1"/>
  <c r="C109" i="6"/>
  <c r="H101" i="6"/>
  <c r="H131" i="6" s="1"/>
  <c r="T101" i="6"/>
  <c r="S101" i="6"/>
  <c r="S102" i="6"/>
  <c r="T102" i="6"/>
  <c r="T94" i="6"/>
  <c r="T85" i="6"/>
  <c r="Y49" i="17" l="1"/>
  <c r="X13" i="17"/>
  <c r="X15" i="17" s="1"/>
  <c r="Z44" i="17"/>
  <c r="Z47" i="17" s="1"/>
  <c r="E287" i="10"/>
  <c r="J274" i="10"/>
  <c r="C131" i="6"/>
  <c r="E244" i="7" s="1"/>
  <c r="E245" i="7" s="1"/>
  <c r="Q103" i="3"/>
  <c r="R103" i="3"/>
  <c r="C110" i="6"/>
  <c r="T106" i="6" s="1"/>
  <c r="T110" i="6"/>
  <c r="H110" i="6"/>
  <c r="S111" i="6"/>
  <c r="S97" i="6"/>
  <c r="T97" i="6"/>
  <c r="Y5" i="17" l="1"/>
  <c r="Y8" i="17" s="1"/>
  <c r="Z49" i="17"/>
  <c r="AA42" i="17"/>
  <c r="E261" i="7"/>
  <c r="I255" i="7" s="1"/>
  <c r="E262" i="7"/>
  <c r="E307" i="10"/>
  <c r="E306" i="10"/>
  <c r="I278" i="10"/>
  <c r="G306" i="10"/>
  <c r="J278" i="10"/>
  <c r="C117" i="3"/>
  <c r="S138" i="6"/>
  <c r="R107" i="3"/>
  <c r="C118" i="6"/>
  <c r="C119" i="6" s="1"/>
  <c r="S106" i="6"/>
  <c r="T103" i="6"/>
  <c r="Y13" i="17" l="1"/>
  <c r="Z5" i="17" s="1"/>
  <c r="AA44" i="17"/>
  <c r="J255" i="7"/>
  <c r="G279" i="7"/>
  <c r="J279" i="10"/>
  <c r="H261" i="7"/>
  <c r="I254" i="7"/>
  <c r="J253" i="7"/>
  <c r="E263" i="7"/>
  <c r="E280" i="7" s="1"/>
  <c r="I296" i="10"/>
  <c r="J295" i="10"/>
  <c r="E308" i="10"/>
  <c r="C118" i="3"/>
  <c r="F125" i="3" s="1"/>
  <c r="F126" i="3" s="1"/>
  <c r="F128" i="3" s="1"/>
  <c r="R116" i="3"/>
  <c r="R117" i="3"/>
  <c r="Q117" i="3"/>
  <c r="H127" i="6"/>
  <c r="C127" i="6" s="1"/>
  <c r="C128" i="6" s="1"/>
  <c r="C132" i="6" s="1"/>
  <c r="H119" i="6"/>
  <c r="S115" i="6"/>
  <c r="T115" i="6"/>
  <c r="T119" i="6"/>
  <c r="S120" i="6"/>
  <c r="T112" i="6"/>
  <c r="H308" i="10"/>
  <c r="AA47" i="17" l="1"/>
  <c r="AA49" i="17" s="1"/>
  <c r="Y15" i="17"/>
  <c r="Z8" i="17"/>
  <c r="D8" i="17" s="1"/>
  <c r="H279" i="7"/>
  <c r="I257" i="7"/>
  <c r="I272" i="7"/>
  <c r="J271" i="7"/>
  <c r="J257" i="7"/>
  <c r="E279" i="7"/>
  <c r="G297" i="7" s="1"/>
  <c r="I299" i="10"/>
  <c r="J299" i="10"/>
  <c r="R114" i="3"/>
  <c r="Q114" i="3"/>
  <c r="T128" i="6"/>
  <c r="S129" i="6"/>
  <c r="H128" i="6"/>
  <c r="H132" i="6" s="1"/>
  <c r="T121" i="6"/>
  <c r="AB42" i="17" l="1"/>
  <c r="Z13" i="17"/>
  <c r="Z15" i="17" s="1"/>
  <c r="AB44" i="17"/>
  <c r="I273" i="7"/>
  <c r="J273" i="7"/>
  <c r="E281" i="7"/>
  <c r="E298" i="7" s="1"/>
  <c r="H297" i="7" s="1"/>
  <c r="J258" i="7"/>
  <c r="J300" i="10"/>
  <c r="C125" i="3"/>
  <c r="C126" i="3" s="1"/>
  <c r="C128" i="3" s="1"/>
  <c r="R118" i="3"/>
  <c r="H141" i="6"/>
  <c r="T124" i="6"/>
  <c r="S124" i="6"/>
  <c r="AB47" i="17" l="1"/>
  <c r="AB49" i="17" s="1"/>
  <c r="AA5" i="17"/>
  <c r="AA8" i="17" s="1"/>
  <c r="E297" i="7"/>
  <c r="J291" i="7" s="1"/>
  <c r="J275" i="7"/>
  <c r="I275" i="7"/>
  <c r="I290" i="7"/>
  <c r="J289" i="7"/>
  <c r="C130" i="3"/>
  <c r="R131" i="3"/>
  <c r="R122" i="3"/>
  <c r="Q138" i="3" s="1"/>
  <c r="Q125" i="3"/>
  <c r="R141" i="3" s="1"/>
  <c r="R124" i="3"/>
  <c r="R125" i="3"/>
  <c r="C140" i="6"/>
  <c r="T130" i="6"/>
  <c r="AC42" i="17" l="1"/>
  <c r="AA13" i="17"/>
  <c r="AA15" i="17" s="1"/>
  <c r="AC44" i="17"/>
  <c r="E299" i="7"/>
  <c r="J293" i="7" s="1"/>
  <c r="I291" i="7"/>
  <c r="J276" i="7"/>
  <c r="R134" i="3"/>
  <c r="R142" i="3"/>
  <c r="Q122" i="3"/>
  <c r="R126" i="3" s="1"/>
  <c r="C141" i="6"/>
  <c r="H150" i="6" s="1"/>
  <c r="T141" i="6"/>
  <c r="S142" i="6"/>
  <c r="AC47" i="17" l="1"/>
  <c r="AD42" i="17" s="1"/>
  <c r="AB5" i="17"/>
  <c r="AB8" i="17" s="1"/>
  <c r="I293" i="7"/>
  <c r="J294" i="7" s="1"/>
  <c r="T137" i="6"/>
  <c r="S137" i="6"/>
  <c r="H299" i="7"/>
  <c r="AC49" i="17" l="1"/>
  <c r="AB13" i="17"/>
  <c r="AC5" i="17" s="1"/>
  <c r="AD44" i="17"/>
  <c r="D44" i="17" s="1"/>
  <c r="T143" i="6"/>
  <c r="C149" i="6"/>
  <c r="AD47" i="17" l="1"/>
  <c r="AE42" i="17" s="1"/>
  <c r="AB15" i="17"/>
  <c r="AC8" i="17"/>
  <c r="C150" i="6"/>
  <c r="H158" i="6" s="1"/>
  <c r="T150" i="6"/>
  <c r="S151" i="6"/>
  <c r="AD49" i="17" l="1"/>
  <c r="AC13" i="17"/>
  <c r="AD5" i="17" s="1"/>
  <c r="AE44" i="17"/>
  <c r="T146" i="6"/>
  <c r="S146" i="6"/>
  <c r="AM44" i="17" l="1"/>
  <c r="L19" i="18" s="1"/>
  <c r="AM42" i="17"/>
  <c r="L17" i="18" s="1"/>
  <c r="AL43" i="17"/>
  <c r="AL44" i="17"/>
  <c r="K19" i="18" s="1"/>
  <c r="AC15" i="17"/>
  <c r="AE47" i="17"/>
  <c r="AE49" i="17" s="1"/>
  <c r="AD8" i="17"/>
  <c r="C158" i="6"/>
  <c r="C159" i="6" s="1"/>
  <c r="C161" i="6" s="1"/>
  <c r="C163" i="6" s="1"/>
  <c r="H159" i="6"/>
  <c r="H161" i="6" s="1"/>
  <c r="T152" i="6"/>
  <c r="AM48" i="17" l="1"/>
  <c r="K18" i="18"/>
  <c r="AD13" i="17"/>
  <c r="AE5" i="17" s="1"/>
  <c r="AF42" i="17"/>
  <c r="AF44" i="17" s="1"/>
  <c r="S160" i="6"/>
  <c r="T178" i="6" s="1"/>
  <c r="T159" i="6"/>
  <c r="AD15" i="17" l="1"/>
  <c r="AF47" i="17"/>
  <c r="AF49" i="17" s="1"/>
  <c r="C44" i="17"/>
  <c r="AE8" i="17"/>
  <c r="T155" i="6"/>
  <c r="S155" i="6"/>
  <c r="AE13" i="17" l="1"/>
  <c r="AF5" i="17" s="1"/>
  <c r="AM7" i="17"/>
  <c r="L15" i="18" s="1"/>
  <c r="AM5" i="17"/>
  <c r="L13" i="18" s="1"/>
  <c r="AL6" i="17"/>
  <c r="AL7" i="17"/>
  <c r="K15" i="18" s="1"/>
  <c r="S173" i="6"/>
  <c r="T161" i="6"/>
  <c r="K14" i="18" l="1"/>
  <c r="AM11" i="17"/>
  <c r="AE15" i="17"/>
  <c r="AF8" i="17"/>
  <c r="T179" i="6"/>
  <c r="H77" i="17"/>
  <c r="AF13" i="17" l="1"/>
  <c r="AF15" i="17" s="1"/>
  <c r="C8" i="17"/>
  <c r="V8" i="16" l="1"/>
  <c r="V75" i="17"/>
  <c r="V13" i="16" l="1"/>
  <c r="V79" i="17"/>
  <c r="V15" i="16" l="1"/>
  <c r="W5" i="16"/>
  <c r="W8" i="16" s="1"/>
  <c r="V81" i="17"/>
  <c r="W75" i="17"/>
  <c r="W13" i="16" l="1"/>
  <c r="W77" i="17"/>
  <c r="W79" i="17" l="1"/>
  <c r="X75" i="17" s="1"/>
  <c r="W15" i="16"/>
  <c r="X5" i="16"/>
  <c r="X8" i="16" s="1"/>
  <c r="W81" i="17" l="1"/>
  <c r="X13" i="16"/>
  <c r="X77" i="17"/>
  <c r="X79" i="17" l="1"/>
  <c r="X81" i="17" s="1"/>
  <c r="X15" i="16"/>
  <c r="Y5" i="16"/>
  <c r="Y8" i="16" s="1"/>
  <c r="Y75" i="17"/>
  <c r="Y13" i="16" l="1"/>
  <c r="Y15" i="16" s="1"/>
  <c r="Y77" i="17"/>
  <c r="Y79" i="17" l="1"/>
  <c r="Y81" i="17" s="1"/>
  <c r="Z5" i="16"/>
  <c r="Z8" i="16" s="1"/>
  <c r="D8" i="16" s="1"/>
  <c r="Z75" i="17" l="1"/>
  <c r="Z77" i="17" s="1"/>
  <c r="Z79" i="17" s="1"/>
  <c r="Z13" i="16"/>
  <c r="AA5" i="16" s="1"/>
  <c r="Z15" i="16" l="1"/>
  <c r="Z81" i="17"/>
  <c r="AA75" i="17"/>
  <c r="AA8" i="16"/>
  <c r="AA13" i="16" l="1"/>
  <c r="AB5" i="16" s="1"/>
  <c r="AA77" i="17"/>
  <c r="AA79" i="17" s="1"/>
  <c r="AA15" i="16" l="1"/>
  <c r="AA81" i="17"/>
  <c r="AB75" i="17"/>
  <c r="AB8" i="16"/>
  <c r="AB13" i="16" l="1"/>
  <c r="AC5" i="16" s="1"/>
  <c r="AB77" i="17"/>
  <c r="AB79" i="17" s="1"/>
  <c r="AB15" i="16" l="1"/>
  <c r="AB81" i="17"/>
  <c r="AC75" i="17"/>
  <c r="AC8" i="16"/>
  <c r="AC13" i="16" l="1"/>
  <c r="AD5" i="16" s="1"/>
  <c r="AC77" i="17"/>
  <c r="AC79" i="17" s="1"/>
  <c r="AC15" i="16" l="1"/>
  <c r="AC81" i="17"/>
  <c r="AD75" i="17"/>
  <c r="AD8" i="16"/>
  <c r="AD13" i="16" l="1"/>
  <c r="AD15" i="16" s="1"/>
  <c r="AD77" i="17"/>
  <c r="AD79" i="17" l="1"/>
  <c r="D77" i="17"/>
  <c r="AE5" i="16"/>
  <c r="AE8" i="16" s="1"/>
  <c r="AD81" i="17"/>
  <c r="AE75" i="17"/>
  <c r="AE13" i="16" l="1"/>
  <c r="AF5" i="16" s="1"/>
  <c r="AL6" i="16"/>
  <c r="AM7" i="16"/>
  <c r="L4" i="18" s="1"/>
  <c r="AM5" i="16"/>
  <c r="AL7" i="16"/>
  <c r="K4" i="18" s="1"/>
  <c r="AE77" i="17"/>
  <c r="AE79" i="17" l="1"/>
  <c r="AM77" i="17"/>
  <c r="L27" i="18" s="1"/>
  <c r="AL77" i="17"/>
  <c r="K27" i="18" s="1"/>
  <c r="AM75" i="17"/>
  <c r="L25" i="18" s="1"/>
  <c r="AL76" i="17"/>
  <c r="AE15" i="16"/>
  <c r="H59" i="22"/>
  <c r="H59" i="19"/>
  <c r="H61" i="27"/>
  <c r="H59" i="23"/>
  <c r="K3" i="18"/>
  <c r="H59" i="20"/>
  <c r="H59" i="24"/>
  <c r="H59" i="26"/>
  <c r="H59" i="25"/>
  <c r="H59" i="21"/>
  <c r="AM11" i="16"/>
  <c r="H61" i="28"/>
  <c r="H59" i="29"/>
  <c r="H59" i="5"/>
  <c r="I59" i="22"/>
  <c r="I59" i="20"/>
  <c r="L2" i="18"/>
  <c r="L32" i="18" s="1"/>
  <c r="I59" i="29"/>
  <c r="I59" i="24"/>
  <c r="I59" i="23"/>
  <c r="I59" i="5"/>
  <c r="I59" i="21"/>
  <c r="I61" i="27"/>
  <c r="I59" i="25"/>
  <c r="I61" i="28"/>
  <c r="I59" i="19"/>
  <c r="I59" i="26"/>
  <c r="AE81" i="17"/>
  <c r="AF75" i="17"/>
  <c r="AF8" i="16"/>
  <c r="K26" i="18" l="1"/>
  <c r="K32" i="18" s="1"/>
  <c r="AM81" i="17"/>
  <c r="I60" i="29"/>
  <c r="I60" i="25"/>
  <c r="I60" i="22"/>
  <c r="I60" i="5"/>
  <c r="I60" i="21"/>
  <c r="I60" i="20"/>
  <c r="I60" i="19"/>
  <c r="I60" i="24"/>
  <c r="I62" i="27"/>
  <c r="I62" i="28"/>
  <c r="I60" i="26"/>
  <c r="I60" i="23"/>
  <c r="AF13" i="16"/>
  <c r="C8" i="16"/>
  <c r="C13" i="16" s="1"/>
  <c r="AF77" i="17"/>
  <c r="AF15" i="16" l="1"/>
  <c r="AF79" i="17"/>
  <c r="AF81" i="17" s="1"/>
  <c r="C77" i="17"/>
</calcChain>
</file>

<file path=xl/comments1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Updated once per year; email to be provided by rates with a memo on the allocation %</t>
        </r>
      </text>
    </comment>
  </commentList>
</comments>
</file>

<file path=xl/comments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Updated once per year; email to be provided by rates with a memo on the allocation %</t>
        </r>
      </text>
    </comment>
  </commentList>
</comments>
</file>

<file path=xl/comments3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6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7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9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0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1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3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</commentList>
</comments>
</file>

<file path=xl/comments14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charset val="1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charset val="1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5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</commentList>
</comments>
</file>

<file path=xl/comments16.xml><?xml version="1.0" encoding="utf-8"?>
<comments xmlns="http://schemas.openxmlformats.org/spreadsheetml/2006/main">
  <authors>
    <author>MGG9990</author>
    <author>Carolyn Groome</author>
    <author>Christine Machado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W28" authorId="1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1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7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6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7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</commentList>
</comments>
</file>

<file path=xl/comments18.xml><?xml version="1.0" encoding="utf-8"?>
<comments xmlns="http://schemas.openxmlformats.org/spreadsheetml/2006/main">
  <authors>
    <author>MGG9990</author>
    <author>Carolyn Groome</author>
    <author>Christine Machado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W28" authorId="1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1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9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6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7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</commentList>
</comments>
</file>

<file path=xl/comments20.xml><?xml version="1.0" encoding="utf-8"?>
<comments xmlns="http://schemas.openxmlformats.org/spreadsheetml/2006/main">
  <authors>
    <author>MGG9990</author>
    <author>Carolyn Groome</author>
    <author>Christine Machado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W28" authorId="1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1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1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6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7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</commentList>
</comments>
</file>

<file path=xl/comments22.xml><?xml version="1.0" encoding="utf-8"?>
<comments xmlns="http://schemas.openxmlformats.org/spreadsheetml/2006/main">
  <authors>
    <author>MGG9990</author>
    <author>Carolyn Groome</author>
    <author>Christine Machado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W28" authorId="1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1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3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6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7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</commentList>
</comments>
</file>

<file path=xl/comments24.xml><?xml version="1.0" encoding="utf-8"?>
<comments xmlns="http://schemas.openxmlformats.org/spreadsheetml/2006/main">
  <authors>
    <author>MGG9990</author>
    <author>Carolyn Groome</author>
    <author>Christine Machado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W28" authorId="1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1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5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6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7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</commentList>
</comments>
</file>

<file path=xl/comments26.xml><?xml version="1.0" encoding="utf-8"?>
<comments xmlns="http://schemas.openxmlformats.org/spreadsheetml/2006/main">
  <authors>
    <author>MGG9990</author>
    <author>Carolyn Groome</author>
    <author>Christine Machado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W28" authorId="1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1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7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6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7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</commentList>
</comments>
</file>

<file path=xl/comments28.xml><?xml version="1.0" encoding="utf-8"?>
<comments xmlns="http://schemas.openxmlformats.org/spreadsheetml/2006/main">
  <authors>
    <author>MGG9990</author>
    <author>Carolyn Groome</author>
    <author>Christine Machado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W28" authorId="1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2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1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9.xml><?xml version="1.0" encoding="utf-8"?>
<comments xmlns="http://schemas.openxmlformats.org/spreadsheetml/2006/main">
  <authors>
    <author>Christine Machado</author>
    <author>MGG9990</author>
    <author>Carolyn Groome</author>
  </authors>
  <commentList>
    <comment ref="AM5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.01 rounding</t>
        </r>
      </text>
    </comment>
    <comment ref="AN7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.01 rounding</t>
        </r>
      </text>
    </comment>
    <comment ref="H8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T8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F8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6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76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U76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</commentList>
</comments>
</file>

<file path=xl/comments30.xml><?xml version="1.0" encoding="utf-8"?>
<comments xmlns="http://schemas.openxmlformats.org/spreadsheetml/2006/main">
  <authors>
    <author>Christine Machado</author>
    <author>MGG9990</author>
    <author>Carolyn Groome</author>
  </authors>
  <commentList>
    <comment ref="AN6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.07 rounding</t>
        </r>
      </text>
    </comment>
    <comment ref="AM7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.23 Rounding</t>
        </r>
      </text>
    </comment>
    <comment ref="H8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T8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U43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T44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N45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.01 rounding</t>
        </r>
      </text>
    </comment>
    <comment ref="AM46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.02 rounding</t>
        </r>
      </text>
    </comment>
    <comment ref="V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31.xml><?xml version="1.0" encoding="utf-8"?>
<comments xmlns="http://schemas.openxmlformats.org/spreadsheetml/2006/main">
  <authors>
    <author>MGG9990</author>
    <author>Carolyn Groome</author>
    <author>jmccauley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1" authorId="1" shapeId="0">
      <text>
        <r>
          <rPr>
            <sz val="9"/>
            <color indexed="81"/>
            <rFont val="Tahoma"/>
            <family val="2"/>
          </rPr>
          <t>Worksheet was not updated from the Jan-15 correcting entries.</t>
        </r>
      </text>
    </comment>
    <comment ref="V11" authorId="1" shapeId="0">
      <text>
        <r>
          <rPr>
            <sz val="9"/>
            <color indexed="81"/>
            <rFont val="Tahoma"/>
            <family val="2"/>
          </rPr>
          <t>Worksheet was not updated from the Jan-15 correcting entries.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Worksheet was not updated from the Jan-15 correcting entries.</t>
        </r>
      </text>
    </comment>
    <comment ref="V12" authorId="1" shapeId="0">
      <text>
        <r>
          <rPr>
            <sz val="9"/>
            <color indexed="81"/>
            <rFont val="Tahoma"/>
            <family val="2"/>
          </rPr>
          <t>Worksheet was not updated from the Jan-15 correcting entries.</t>
        </r>
      </text>
    </comment>
    <comment ref="V15" authorId="1" shapeId="0">
      <text>
        <r>
          <rPr>
            <sz val="9"/>
            <color indexed="81"/>
            <rFont val="Tahoma"/>
            <family val="2"/>
          </rPr>
          <t>Difference includes the adjustment from Jan15 of $69,822.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T46" authorId="2" shapeId="0">
      <text>
        <r>
          <rPr>
            <b/>
            <sz val="9"/>
            <color indexed="81"/>
            <rFont val="Tahoma"/>
            <family val="2"/>
          </rPr>
          <t>jmccauley:</t>
        </r>
        <r>
          <rPr>
            <sz val="9"/>
            <color indexed="81"/>
            <rFont val="Tahoma"/>
            <family val="2"/>
          </rPr>
          <t xml:space="preserve">
Entered backwards in November, correcting December</t>
        </r>
      </text>
    </comment>
    <comment ref="U76" authorId="1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32.xml><?xml version="1.0" encoding="utf-8"?>
<comments xmlns="http://schemas.openxmlformats.org/spreadsheetml/2006/main">
  <authors>
    <author>MGG9990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W28" authorId="1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6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7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</commentList>
</comments>
</file>

<file path=xl/comments33.xml><?xml version="1.0" encoding="utf-8"?>
<comments xmlns="http://schemas.openxmlformats.org/spreadsheetml/2006/main">
  <authors>
    <author>MGG9990</author>
    <author>Carolyn Groome</author>
    <author>jmccauley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V15" authorId="1" shapeId="0">
      <text>
        <r>
          <rPr>
            <sz val="9"/>
            <color indexed="81"/>
            <rFont val="Tahoma"/>
            <family val="2"/>
          </rPr>
          <t>Difference includes the adjustment from Jan15 of $69,822. Correcting entry - see ID - Def-Amtz Correction tab.</t>
        </r>
      </text>
    </comment>
    <comment ref="W28" authorId="1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T46" authorId="2" shapeId="0">
      <text>
        <r>
          <rPr>
            <b/>
            <sz val="9"/>
            <color indexed="81"/>
            <rFont val="Tahoma"/>
            <family val="2"/>
          </rPr>
          <t>jmccauley:</t>
        </r>
        <r>
          <rPr>
            <sz val="9"/>
            <color indexed="81"/>
            <rFont val="Tahoma"/>
            <family val="2"/>
          </rPr>
          <t xml:space="preserve">
Entered backwards in November, correcting December</t>
        </r>
      </text>
    </comment>
    <comment ref="W46" authorId="1" shapeId="0">
      <text>
        <r>
          <rPr>
            <sz val="9"/>
            <color indexed="81"/>
            <rFont val="Tahoma"/>
            <family val="2"/>
          </rPr>
          <t>Correcting entry - see ID-Def-Amtz Correction tab</t>
        </r>
      </text>
    </comment>
    <comment ref="U76" authorId="1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34.xml><?xml version="1.0" encoding="utf-8"?>
<comments xmlns="http://schemas.openxmlformats.org/spreadsheetml/2006/main">
  <authors>
    <author>CGroome</author>
  </authors>
  <commentList>
    <comment ref="E2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69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3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53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74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9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16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37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5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8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30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</commentList>
</comments>
</file>

<file path=xl/sharedStrings.xml><?xml version="1.0" encoding="utf-8"?>
<sst xmlns="http://schemas.openxmlformats.org/spreadsheetml/2006/main" count="9328" uniqueCount="354">
  <si>
    <t>State of Washington</t>
  </si>
  <si>
    <t>Balance</t>
  </si>
  <si>
    <t>Commodity</t>
  </si>
  <si>
    <t>Demand</t>
  </si>
  <si>
    <t>Interest</t>
  </si>
  <si>
    <t>NWP/PGT</t>
  </si>
  <si>
    <t>Capacity</t>
  </si>
  <si>
    <t>Deferral</t>
  </si>
  <si>
    <t>Refund</t>
  </si>
  <si>
    <t>Charges</t>
  </si>
  <si>
    <t>Tracker transfer</t>
  </si>
  <si>
    <t>Tracker Transfer</t>
  </si>
  <si>
    <t xml:space="preserve"> Interest</t>
  </si>
  <si>
    <t>Avista Corporation</t>
  </si>
  <si>
    <t>Misc</t>
  </si>
  <si>
    <t>Recap of Account 191010 GD WA</t>
  </si>
  <si>
    <t>Acct 191010</t>
  </si>
  <si>
    <t>191010 GD WA</t>
  </si>
  <si>
    <t>dr</t>
  </si>
  <si>
    <t>cr</t>
  </si>
  <si>
    <t>805120 GD WA</t>
  </si>
  <si>
    <t>Total</t>
  </si>
  <si>
    <t>Rates</t>
  </si>
  <si>
    <t>Amortization</t>
  </si>
  <si>
    <t>Schedule</t>
  </si>
  <si>
    <t>J0URNAL ENTRY</t>
  </si>
  <si>
    <t>805110 GD WA</t>
  </si>
  <si>
    <t>191000 GD WA</t>
  </si>
  <si>
    <t>Total Interest Income</t>
  </si>
  <si>
    <t xml:space="preserve">Total Interest Expense 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</si>
  <si>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</si>
  <si>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</si>
  <si>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</si>
  <si>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</si>
  <si>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</si>
  <si>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</si>
  <si>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</si>
  <si>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</si>
  <si>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</si>
  <si>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</si>
  <si>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</si>
  <si>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</si>
  <si>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</si>
  <si>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</si>
  <si>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</si>
  <si>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</si>
  <si>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State of Idaho</t>
  </si>
  <si>
    <t>Analysis of Account 191010 GD ID</t>
  </si>
  <si>
    <t>Contract</t>
  </si>
  <si>
    <t>Cascade</t>
  </si>
  <si>
    <t>Off-Sys Sales</t>
  </si>
  <si>
    <t>Off-System Sales</t>
  </si>
  <si>
    <t>Admin &amp; Gen</t>
  </si>
  <si>
    <t>Marg-Commod</t>
  </si>
  <si>
    <t>Marg-Capacity</t>
  </si>
  <si>
    <t>Releases</t>
  </si>
  <si>
    <t>Ending Balance</t>
  </si>
  <si>
    <t xml:space="preserve">Interest </t>
  </si>
  <si>
    <t>191010 GD ID</t>
  </si>
  <si>
    <t>805120 GD ID</t>
  </si>
  <si>
    <t>805110 GD ID</t>
  </si>
  <si>
    <t>132J</t>
  </si>
  <si>
    <t>191000 GD ID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</si>
  <si>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</si>
  <si>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</si>
  <si>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</si>
  <si>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</si>
  <si>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</si>
  <si>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</si>
  <si>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</si>
  <si>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</si>
  <si>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</si>
  <si>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</si>
  <si>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</si>
  <si>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</si>
  <si>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419600 GD WA</t>
  </si>
  <si>
    <t>431600 GD WA</t>
  </si>
  <si>
    <t>419600 GD ID</t>
  </si>
  <si>
    <t>431600 GD ID</t>
  </si>
  <si>
    <t>WA deferral</t>
  </si>
  <si>
    <t>Deferral exp</t>
  </si>
  <si>
    <t>ID deferral</t>
  </si>
  <si>
    <t>Interest Income</t>
  </si>
  <si>
    <t xml:space="preserve">Interest Expense </t>
  </si>
  <si>
    <t>Current Mo Deferrals</t>
  </si>
  <si>
    <t>Interest %</t>
  </si>
  <si>
    <t>Adjustments</t>
  </si>
  <si>
    <t>Subtotal</t>
  </si>
  <si>
    <t xml:space="preserve">NWP Fixed </t>
  </si>
  <si>
    <t>GTN Fixed</t>
  </si>
  <si>
    <t xml:space="preserve">GTN Variable </t>
  </si>
  <si>
    <t>GTN Capacity Release</t>
  </si>
  <si>
    <t>ANG Total</t>
  </si>
  <si>
    <t>WEI (Duke) Total</t>
  </si>
  <si>
    <t>Commodity Purchases (Natural Gas)</t>
  </si>
  <si>
    <t xml:space="preserve">Total Net Gas Costs </t>
  </si>
  <si>
    <t>Counterparty Invoice Total</t>
  </si>
  <si>
    <t>Total WA Amortization Expense</t>
  </si>
  <si>
    <t>WA Recoverable Gas Costs</t>
  </si>
  <si>
    <t>Total ID Amortization Expense</t>
  </si>
  <si>
    <t>ID Recoverable Gas Costs</t>
  </si>
  <si>
    <t>Volumes</t>
  </si>
  <si>
    <t>check</t>
  </si>
  <si>
    <t>Totals from above</t>
  </si>
  <si>
    <t xml:space="preserve"> Current Unrecovered PGA Deferred</t>
  </si>
  <si>
    <t>Large Customer</t>
  </si>
  <si>
    <t>WA CURR UNRECOV PGA DEFERRED</t>
  </si>
  <si>
    <t>ID CURR UNRECOV PGA DEFERRED</t>
  </si>
  <si>
    <t xml:space="preserve">Balance Sheet </t>
  </si>
  <si>
    <t>PGA Deferral Revenue from above</t>
  </si>
  <si>
    <r>
      <t>Demand (Transportation)</t>
    </r>
    <r>
      <rPr>
        <b/>
        <sz val="12"/>
        <color indexed="8"/>
        <rFont val="Arial"/>
        <family val="2"/>
      </rPr>
      <t xml:space="preserve"> Costs</t>
    </r>
  </si>
  <si>
    <r>
      <t>Total Demand</t>
    </r>
    <r>
      <rPr>
        <b/>
        <sz val="12"/>
        <color indexed="8"/>
        <rFont val="Arial"/>
        <family val="2"/>
      </rPr>
      <t xml:space="preserve"> Costs from Purchase Journals</t>
    </r>
  </si>
  <si>
    <t>WA/ID Buy/Sell Transportation Recovery</t>
  </si>
  <si>
    <t>less variable costs charged to Commodity</t>
  </si>
  <si>
    <t>Total Demand Costs to be Allocated</t>
  </si>
  <si>
    <t>804000 GD AN</t>
  </si>
  <si>
    <t xml:space="preserve">Total Demand Costs </t>
  </si>
  <si>
    <t>804001 GD AN</t>
  </si>
  <si>
    <t>plus variable costs from Demand</t>
  </si>
  <si>
    <t>Total Commodity Costs to be Allocated</t>
  </si>
  <si>
    <t>808100/808200 GD AN</t>
  </si>
  <si>
    <t>WA Imbalance</t>
  </si>
  <si>
    <t>ID Imbalance</t>
  </si>
  <si>
    <t>Total Commodity Costs from Purchase Journals</t>
  </si>
  <si>
    <t>WA/ID Off System Revenue</t>
  </si>
  <si>
    <t>Total Deferred Commodity Costs:</t>
  </si>
  <si>
    <t>DEMAND</t>
  </si>
  <si>
    <t xml:space="preserve">Total Demand </t>
  </si>
  <si>
    <t>COMMODITY</t>
  </si>
  <si>
    <t>Commodity Physical</t>
  </si>
  <si>
    <t>Broker Fees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</si>
  <si>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</si>
  <si>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</si>
  <si>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</si>
  <si>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</si>
  <si>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</si>
  <si>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</si>
  <si>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</si>
  <si>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</si>
  <si>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r>
      <t xml:space="preserve">Total Current Demand Costs </t>
    </r>
    <r>
      <rPr>
        <b/>
        <sz val="12"/>
        <rFont val="Arial"/>
        <family val="2"/>
      </rPr>
      <t>(excluding refund)</t>
    </r>
  </si>
  <si>
    <t>NWP Total (excluding Refund)</t>
  </si>
  <si>
    <t>WA 191000 Recoverable Gas Costs Amortized</t>
  </si>
  <si>
    <t>ID 191000 Recoverable Gas Costs Amortized</t>
  </si>
  <si>
    <t xml:space="preserve">Valley Hospital </t>
  </si>
  <si>
    <t>Terasen</t>
  </si>
  <si>
    <t xml:space="preserve">  Current Month Estimate</t>
  </si>
  <si>
    <t>Cochrane Credit</t>
  </si>
  <si>
    <t>811000 GD AN</t>
  </si>
  <si>
    <t>Misc Adjustment</t>
  </si>
  <si>
    <t>Questar</t>
  </si>
  <si>
    <t>Thermal Transport</t>
  </si>
  <si>
    <t>Spokane Rock Products</t>
  </si>
  <si>
    <t>804017 GD AN</t>
  </si>
  <si>
    <t>Foreign Exchange Hedge Activity</t>
  </si>
  <si>
    <t>Interest Revenue</t>
  </si>
  <si>
    <t>804010 GD AN</t>
  </si>
  <si>
    <t>Large Customer Refund</t>
  </si>
  <si>
    <t xml:space="preserve">Adjustments </t>
  </si>
  <si>
    <t>interest check</t>
  </si>
  <si>
    <t>Check</t>
  </si>
  <si>
    <t>From DJ 430</t>
  </si>
  <si>
    <t>Adj</t>
  </si>
  <si>
    <t>Def Rev Calc</t>
  </si>
  <si>
    <t>Spectra Westcoast Fixed</t>
  </si>
  <si>
    <t>Spectra Westcoast Variable</t>
  </si>
  <si>
    <t>Transcanada Foothills (BC System) Fixed</t>
  </si>
  <si>
    <t>Transcanada Foothills (BC System) Variable</t>
  </si>
  <si>
    <t>Intracompany Transportation Optimization</t>
  </si>
  <si>
    <t>FAFB Commodity for Anderson Elementary/Lignetics (semi-annual)</t>
  </si>
  <si>
    <t>WA/ID Gas Purchased from Interstate Asphalt (Annual)</t>
  </si>
  <si>
    <t>Analysis of Account 191000 GD ID</t>
  </si>
  <si>
    <t>Recovered PGA Deferred</t>
  </si>
  <si>
    <t>Analysis of Account 191000 GD WA</t>
  </si>
  <si>
    <t>WA Total</t>
  </si>
  <si>
    <t>ID Total</t>
  </si>
  <si>
    <t>Newedge Broker Fees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</si>
  <si>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</si>
  <si>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</si>
  <si>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</si>
  <si>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</si>
  <si>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</si>
  <si>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</si>
  <si>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</si>
  <si>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</si>
  <si>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</si>
  <si>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</si>
  <si>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</si>
  <si>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</si>
  <si>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Manual Calc</t>
  </si>
  <si>
    <t>Other capacity release credit</t>
  </si>
  <si>
    <t>Other Pipeline Fixed charges</t>
  </si>
  <si>
    <t>Terasen/Fortis Deferred Exchange Revenue</t>
  </si>
  <si>
    <t>495028 GD AN</t>
  </si>
  <si>
    <t>Avista Corp. - Resource Accounting</t>
  </si>
  <si>
    <t>Date of Graphs</t>
  </si>
  <si>
    <t>$ in Millions:  (+) Rebate; (-) Surcharge</t>
  </si>
  <si>
    <t>Washington Deferral</t>
  </si>
  <si>
    <t>WA 191025 WA GRC JACKSON PRAIRIE DEFERRAL</t>
  </si>
  <si>
    <t>WA GRC Jackson Prairie Deferral</t>
  </si>
  <si>
    <t>191025 GD WA</t>
  </si>
  <si>
    <t>Current Month Amortization</t>
  </si>
  <si>
    <t>Original</t>
  </si>
  <si>
    <t>Amortization of JP Deferral</t>
  </si>
  <si>
    <t>Analysis of Account 191015 GD ID</t>
  </si>
  <si>
    <t>ID Deferral Holdback</t>
  </si>
  <si>
    <t>Acct 191015</t>
  </si>
  <si>
    <t>Balance 10/1/12</t>
  </si>
  <si>
    <t>Tracker Transfer 191015</t>
  </si>
  <si>
    <t>Tracker Transfer 191000</t>
  </si>
  <si>
    <t>191015 GD ID</t>
  </si>
  <si>
    <t>Tracker Transfer 10/1/12</t>
  </si>
  <si>
    <t>ID Holdback</t>
  </si>
  <si>
    <t>Balance 11/1/12</t>
  </si>
  <si>
    <t>2012 Deferral Transfer</t>
  </si>
  <si>
    <t>Tracker Transfer 11/1/12</t>
  </si>
  <si>
    <t>CORRECTED</t>
  </si>
  <si>
    <t>J0URNAL ENTRY - ORIGINAL</t>
  </si>
  <si>
    <t>J0URNAL ENTRY CORRECTION - book 12/31</t>
  </si>
  <si>
    <t>ID CURR UNRECOV PGA DEFERRED - ORIGINALLY RECORDED</t>
  </si>
  <si>
    <t>ID CURR UNRECOV PGA DEFERRED Correcting Entry CORRECTING booked 12/31</t>
  </si>
  <si>
    <t>Correcting Adjustment for 12/2012</t>
  </si>
  <si>
    <t>11-30-2012 - Corrected</t>
  </si>
  <si>
    <t>M Checmical Accrual</t>
  </si>
  <si>
    <t>Idaho Deferral (With Holdback)</t>
  </si>
  <si>
    <t>Mizuho Broker Fees</t>
  </si>
  <si>
    <t>Balance 10/1/13</t>
  </si>
  <si>
    <t>SEE ID AMORT 191015 TAB FOR AMORTIZATION BEGINNING 10/1/2013</t>
  </si>
  <si>
    <t>10/1/2013 Tracker Transfer</t>
  </si>
  <si>
    <t>10/1/13 Balance</t>
  </si>
  <si>
    <t>10/1/2013 Balance</t>
  </si>
  <si>
    <t>805111 GD ID</t>
  </si>
  <si>
    <t>= Var = Correction of rate used 10/2013 close</t>
  </si>
  <si>
    <t>PGA Tracker Transfer</t>
  </si>
  <si>
    <t>Balance 11/1/2013</t>
  </si>
  <si>
    <t>2013 Deferral Transfer</t>
  </si>
  <si>
    <t>Adjusted 11/1/2013 Balance</t>
  </si>
  <si>
    <t>Demand Allocation Correction NSJ</t>
  </si>
  <si>
    <t>WA CURR UNRECOV PGA DEFERRED - CORRECTED</t>
  </si>
  <si>
    <t>WA CURR UNRECOV PGA DEFERRED - ORIGINALLY RECORDED IN DJ431</t>
  </si>
  <si>
    <t>WA CURR UNRECOV PGA DEFERRED - CORRECTING ENTRY</t>
  </si>
  <si>
    <t>ID CURR UNRECOV PGA DEFERRED - CORRECTED</t>
  </si>
  <si>
    <t>ID CURR UNRECOV PGA DEFERRED - ORIGINALLY RECORDED IN DJ431</t>
  </si>
  <si>
    <t>ID CURR UNRECOV PGA DEFERRED - CORRECTING ENTRY</t>
  </si>
  <si>
    <t>Adjusted Ending Balance</t>
  </si>
  <si>
    <t>GL Wand Check</t>
  </si>
  <si>
    <t>Variance</t>
  </si>
  <si>
    <t>GL CHECK</t>
  </si>
  <si>
    <t>O</t>
  </si>
  <si>
    <t>2012-2013 PGA Deferral Balances</t>
  </si>
  <si>
    <t>NSJ025</t>
  </si>
  <si>
    <t>Idaho Deferral</t>
  </si>
  <si>
    <t>YTD</t>
  </si>
  <si>
    <t>PGA YTD</t>
  </si>
  <si>
    <t>Beginning Balance</t>
  </si>
  <si>
    <t>Commodity Deferrall</t>
  </si>
  <si>
    <t>Demand Deferral</t>
  </si>
  <si>
    <t>Month</t>
  </si>
  <si>
    <t>Interest Rate</t>
  </si>
  <si>
    <t>Interest (Rev/Expense)</t>
  </si>
  <si>
    <t>PGA Transfer</t>
  </si>
  <si>
    <t>GLW Check</t>
  </si>
  <si>
    <t>Cumulative
Balance</t>
  </si>
  <si>
    <t>Commodity Adjustment</t>
  </si>
  <si>
    <t>Demand Adjustment</t>
  </si>
  <si>
    <t>Interest Adjustment</t>
  </si>
  <si>
    <t>Blue Text = Drag Formula to next month and copy/paste value in prior month</t>
  </si>
  <si>
    <t>Washington Current Deferral</t>
  </si>
  <si>
    <t>Idaho Current Deferral</t>
  </si>
  <si>
    <t>Washington Amortization</t>
  </si>
  <si>
    <t>Calendar Sales Check</t>
  </si>
  <si>
    <t>Man Calc</t>
  </si>
  <si>
    <t>Idaho Amortization</t>
  </si>
  <si>
    <t>N/A</t>
  </si>
  <si>
    <t>*Misc Adjustments*</t>
  </si>
  <si>
    <t>Project or GL entry</t>
  </si>
  <si>
    <t>Project</t>
  </si>
  <si>
    <t>Task</t>
  </si>
  <si>
    <t>Expenditure Type</t>
  </si>
  <si>
    <t>Organization</t>
  </si>
  <si>
    <t>Company</t>
  </si>
  <si>
    <t>FERC</t>
  </si>
  <si>
    <t>Service Code</t>
  </si>
  <si>
    <t>Rate Making Jurisdiction</t>
  </si>
  <si>
    <t>Statistical Indicator</t>
  </si>
  <si>
    <t>Quantity</t>
  </si>
  <si>
    <t>Credit (GL Only entries)</t>
  </si>
  <si>
    <t>Comments</t>
  </si>
  <si>
    <t>G</t>
  </si>
  <si>
    <t>GD</t>
  </si>
  <si>
    <t>WA</t>
  </si>
  <si>
    <t>DL</t>
  </si>
  <si>
    <t>ID</t>
  </si>
  <si>
    <t>Volume</t>
  </si>
  <si>
    <t>GL</t>
  </si>
  <si>
    <t>WA Deferral Interest Income</t>
  </si>
  <si>
    <t>WA Deferral Interest Expense</t>
  </si>
  <si>
    <t>WA Deferral</t>
  </si>
  <si>
    <t>WA Deferral Expense</t>
  </si>
  <si>
    <t>WA Amortization Interest Income</t>
  </si>
  <si>
    <t>WA Amortization Interest Expense</t>
  </si>
  <si>
    <t>WA Amortization</t>
  </si>
  <si>
    <t>WA Amortization Expense</t>
  </si>
  <si>
    <t>WA Amortization JP</t>
  </si>
  <si>
    <t>WA Amortization Expense JP</t>
  </si>
  <si>
    <t>ID Deferral Interest Income</t>
  </si>
  <si>
    <t>ID Deferral Interest Expense</t>
  </si>
  <si>
    <t>ID Deferral</t>
  </si>
  <si>
    <t>ID Deferral Expense</t>
  </si>
  <si>
    <t>ID Amortization Interest Income</t>
  </si>
  <si>
    <t>ID Amortization Interest Expense</t>
  </si>
  <si>
    <t>ID Amortization</t>
  </si>
  <si>
    <t>ID Amortization Expense</t>
  </si>
  <si>
    <t>ID Amortization HB</t>
  </si>
  <si>
    <t>ID Amortization Expense HB</t>
  </si>
  <si>
    <t>JET Entry</t>
  </si>
  <si>
    <t>Update JE date to pull current month values</t>
  </si>
  <si>
    <t>483000/483600/483730</t>
  </si>
  <si>
    <t>Idaho PGA Costs</t>
  </si>
  <si>
    <t>Washington PGA Costs</t>
  </si>
  <si>
    <t>2013-2014 PGA Costs</t>
  </si>
  <si>
    <t>Actual</t>
  </si>
  <si>
    <t>PGA Rate</t>
  </si>
  <si>
    <t>PGA Budget</t>
  </si>
  <si>
    <t>Deferral Check</t>
  </si>
  <si>
    <t>PGA Year</t>
  </si>
  <si>
    <t>Calendar Yr</t>
  </si>
  <si>
    <t xml:space="preserve">overcollect Demad costs during the winter months </t>
  </si>
  <si>
    <t xml:space="preserve">undercollect Commodity costs during the summer months </t>
  </si>
  <si>
    <t>MAN CALC</t>
  </si>
  <si>
    <t>2014-2015 PGA Deferral Balances</t>
  </si>
  <si>
    <t xml:space="preserve"> </t>
  </si>
  <si>
    <t>Note:  This was reclassed to 254229 GD ID (2013 Earnings Test transfer done on NSJ20 Sept-2014).  Continue to calculate interest until the next PGA filing.</t>
  </si>
  <si>
    <t>Adjustment from Jan2015</t>
  </si>
  <si>
    <t>Should be</t>
  </si>
  <si>
    <t>Correcting entry</t>
  </si>
  <si>
    <t>Posted as</t>
  </si>
  <si>
    <t xml:space="preserve">Correcting entry </t>
  </si>
  <si>
    <t>Posted</t>
  </si>
  <si>
    <t>Should Be</t>
  </si>
  <si>
    <t>201504 Correcting Entry</t>
  </si>
  <si>
    <t>November</t>
  </si>
  <si>
    <t>Entered</t>
  </si>
  <si>
    <t>December</t>
  </si>
  <si>
    <t>February</t>
  </si>
  <si>
    <t>March</t>
  </si>
  <si>
    <t xml:space="preserve">January </t>
  </si>
  <si>
    <t>Correct Entry</t>
  </si>
  <si>
    <t>Needs Corrected</t>
  </si>
  <si>
    <t>M Chemical Accrual</t>
  </si>
  <si>
    <t>SG Americas/Newedge Broker Fees</t>
  </si>
  <si>
    <t>SG Americas Broker Fees</t>
  </si>
  <si>
    <t>Schedule 102</t>
  </si>
  <si>
    <t>Schedule102</t>
  </si>
  <si>
    <t>MAIN 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</si>
</sst>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0.0000%"/>
    <numFmt numFmtId="167" formatCode="_(* #,##0.000_);_(* \(#,##0.000\);_(* &quot;-&quot;??_);_(@_)"/>
    <numFmt numFmtId="168" formatCode="General_)"/>
    <numFmt numFmtId="169" formatCode="0_)"/>
    <numFmt numFmtId="170" formatCode="&quot;$&quot;#,##0.00000_);\(&quot;$&quot;#,##0.00000\)"/>
    <numFmt numFmtId="171" formatCode="#,##0.00000_);\(#,##0.00000\)"/>
    <numFmt numFmtId="172" formatCode="mm/dd/yy_)"/>
    <numFmt numFmtId="173" formatCode="mm/dd/yy"/>
    <numFmt numFmtId="174" formatCode="#,##0.0000_);\(#,##0.0000\)"/>
    <numFmt numFmtId="175" formatCode="[$-409]mmm/yy;@"/>
    <numFmt numFmtId="176" formatCode="#,##0.0000_);[Red]\(#,##0.0000\)"/>
    <numFmt numFmtId="177" formatCode="_(&quot;$&quot;* #,##0.00000_);_(&quot;$&quot;* \(#,##0.00000\);_(&quot;$&quot;* &quot;-&quot;??_);_(@_)"/>
    <numFmt numFmtId="178" formatCode="&quot;$&quot;#,##0.00000_);[Red]\(&quot;$&quot;#,##0.00000\)"/>
    <numFmt numFmtId="179" formatCode="&quot;$&quot;#,##0.0_);\(&quot;$&quot;#,##0.0\)"/>
    <numFmt numFmtId="180" formatCode="&quot;$&quot;#,##0\ ;\(&quot;$&quot;#,##0\)"/>
    <numFmt numFmtId="181" formatCode="_(* #,##0.00_);_(* \(#,##0.00\);_(* &quot;-&quot;_);_(@_)"/>
    <numFmt numFmtId="182" formatCode="00000000"/>
    <numFmt numFmtId="183" formatCode="000"/>
    <numFmt numFmtId="184" formatCode="0_);\(0\)"/>
  </numFmts>
  <fonts count="56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color indexed="12"/>
      <name val="Helv"/>
    </font>
    <font>
      <b/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2"/>
      <color indexed="14"/>
      <name val="Arial"/>
      <family val="2"/>
    </font>
    <font>
      <sz val="12"/>
      <color indexed="9"/>
      <name val="Arial"/>
      <family val="2"/>
    </font>
    <font>
      <b/>
      <sz val="12"/>
      <color indexed="17"/>
      <name val="Arial"/>
      <family val="2"/>
    </font>
    <font>
      <sz val="12"/>
      <color indexed="10"/>
      <name val="Times New Roman"/>
      <family val="1"/>
    </font>
    <font>
      <b/>
      <sz val="12"/>
      <color rgb="FF008000"/>
      <name val="Arial"/>
      <family val="2"/>
    </font>
    <font>
      <sz val="12"/>
      <color theme="0"/>
      <name val="Arial"/>
      <family val="2"/>
    </font>
    <font>
      <b/>
      <sz val="12"/>
      <color rgb="FF0000FF"/>
      <name val="Arial"/>
      <family val="2"/>
    </font>
    <font>
      <b/>
      <sz val="18"/>
      <name val="Helv"/>
    </font>
    <font>
      <b/>
      <sz val="16"/>
      <name val="Helv"/>
    </font>
    <font>
      <sz val="10"/>
      <color rgb="FF0000FF"/>
      <name val="Helv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rgb="FF0000FF"/>
      <name val="Helv"/>
    </font>
    <font>
      <sz val="12"/>
      <name val="Helv"/>
    </font>
    <font>
      <b/>
      <sz val="12"/>
      <name val="Helv"/>
    </font>
    <font>
      <sz val="12"/>
      <color rgb="FF0000FF"/>
      <name val="Helv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Helv"/>
    </font>
    <font>
      <sz val="9"/>
      <color indexed="81"/>
      <name val="Tahoma"/>
      <charset val="1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7">
    <xf numFmtId="39" fontId="0" fillId="0" borderId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27" fillId="2" borderId="0"/>
    <xf numFmtId="9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36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9" fontId="20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0"/>
    <xf numFmtId="0" fontId="39" fillId="0" borderId="0"/>
    <xf numFmtId="0" fontId="8" fillId="0" borderId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40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2" fillId="0" borderId="2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23">
    <xf numFmtId="39" fontId="0" fillId="0" borderId="0" xfId="0"/>
    <xf numFmtId="39" fontId="14" fillId="0" borderId="0" xfId="0" applyFont="1"/>
    <xf numFmtId="39" fontId="15" fillId="0" borderId="0" xfId="0" applyFont="1"/>
    <xf numFmtId="14" fontId="15" fillId="0" borderId="0" xfId="0" applyNumberFormat="1" applyFont="1"/>
    <xf numFmtId="43" fontId="16" fillId="0" borderId="0" xfId="0" applyNumberFormat="1" applyFont="1" applyFill="1"/>
    <xf numFmtId="39" fontId="14" fillId="0" borderId="0" xfId="0" applyFont="1" applyBorder="1"/>
    <xf numFmtId="39" fontId="14" fillId="0" borderId="0" xfId="0" applyFont="1" applyAlignment="1">
      <alignment horizontal="center"/>
    </xf>
    <xf numFmtId="39" fontId="14" fillId="0" borderId="0" xfId="0" applyFont="1" applyFill="1" applyBorder="1"/>
    <xf numFmtId="7" fontId="14" fillId="0" borderId="0" xfId="0" applyNumberFormat="1" applyFont="1" applyFill="1" applyBorder="1"/>
    <xf numFmtId="39" fontId="15" fillId="0" borderId="0" xfId="0" applyFont="1" applyAlignment="1">
      <alignment horizontal="right"/>
    </xf>
    <xf numFmtId="7" fontId="14" fillId="0" borderId="0" xfId="4" applyNumberFormat="1" applyFont="1" applyFill="1" applyBorder="1"/>
    <xf numFmtId="39" fontId="15" fillId="0" borderId="0" xfId="0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2" xfId="0" applyFont="1" applyFill="1" applyBorder="1" applyAlignment="1">
      <alignment horizontal="center"/>
    </xf>
    <xf numFmtId="39" fontId="16" fillId="0" borderId="4" xfId="0" applyFont="1" applyBorder="1"/>
    <xf numFmtId="39" fontId="14" fillId="0" borderId="0" xfId="0" applyFont="1" applyAlignment="1">
      <alignment horizontal="right"/>
    </xf>
    <xf numFmtId="39" fontId="15" fillId="0" borderId="0" xfId="0" applyFont="1" applyBorder="1"/>
    <xf numFmtId="37" fontId="15" fillId="0" borderId="0" xfId="0" applyNumberFormat="1" applyFont="1" applyAlignment="1">
      <alignment horizontal="center"/>
    </xf>
    <xf numFmtId="37" fontId="15" fillId="0" borderId="5" xfId="0" applyNumberFormat="1" applyFont="1" applyBorder="1" applyAlignment="1">
      <alignment horizontal="center"/>
    </xf>
    <xf numFmtId="39" fontId="9" fillId="0" borderId="0" xfId="0" applyFont="1" applyFill="1" applyBorder="1"/>
    <xf numFmtId="39" fontId="15" fillId="0" borderId="0" xfId="0" applyFont="1" applyAlignment="1">
      <alignment horizontal="left"/>
    </xf>
    <xf numFmtId="165" fontId="22" fillId="0" borderId="0" xfId="0" applyNumberFormat="1" applyFont="1" applyBorder="1" applyProtection="1"/>
    <xf numFmtId="39" fontId="14" fillId="0" borderId="0" xfId="0" applyFont="1" applyAlignment="1">
      <alignment horizontal="left"/>
    </xf>
    <xf numFmtId="165" fontId="17" fillId="0" borderId="0" xfId="0" applyNumberFormat="1" applyFont="1" applyProtection="1">
      <protection locked="0"/>
    </xf>
    <xf numFmtId="165" fontId="22" fillId="0" borderId="0" xfId="0" applyNumberFormat="1" applyFont="1" applyProtection="1">
      <protection locked="0"/>
    </xf>
    <xf numFmtId="165" fontId="14" fillId="0" borderId="0" xfId="0" applyNumberFormat="1" applyFont="1" applyProtection="1"/>
    <xf numFmtId="165" fontId="14" fillId="0" borderId="0" xfId="0" applyNumberFormat="1" applyFont="1" applyProtection="1">
      <protection locked="0"/>
    </xf>
    <xf numFmtId="170" fontId="14" fillId="0" borderId="0" xfId="0" applyNumberFormat="1" applyFont="1" applyProtection="1"/>
    <xf numFmtId="5" fontId="14" fillId="0" borderId="0" xfId="0" applyNumberFormat="1" applyFont="1" applyProtection="1"/>
    <xf numFmtId="17" fontId="15" fillId="0" borderId="17" xfId="0" applyNumberFormat="1" applyFont="1" applyBorder="1"/>
    <xf numFmtId="39" fontId="14" fillId="3" borderId="0" xfId="0" applyFont="1" applyFill="1"/>
    <xf numFmtId="5" fontId="15" fillId="0" borderId="0" xfId="0" applyNumberFormat="1" applyFont="1" applyFill="1" applyAlignment="1">
      <alignment horizontal="center"/>
    </xf>
    <xf numFmtId="5" fontId="14" fillId="0" borderId="0" xfId="0" applyNumberFormat="1" applyFont="1" applyFill="1"/>
    <xf numFmtId="17" fontId="15" fillId="3" borderId="0" xfId="0" applyNumberFormat="1" applyFont="1" applyFill="1"/>
    <xf numFmtId="5" fontId="15" fillId="3" borderId="0" xfId="0" applyNumberFormat="1" applyFont="1" applyFill="1" applyAlignment="1">
      <alignment horizontal="center"/>
    </xf>
    <xf numFmtId="5" fontId="14" fillId="3" borderId="0" xfId="0" applyNumberFormat="1" applyFont="1" applyFill="1"/>
    <xf numFmtId="7" fontId="14" fillId="3" borderId="0" xfId="0" applyNumberFormat="1" applyFont="1" applyFill="1"/>
    <xf numFmtId="7" fontId="14" fillId="3" borderId="0" xfId="0" applyNumberFormat="1" applyFont="1" applyFill="1" applyBorder="1"/>
    <xf numFmtId="39" fontId="14" fillId="0" borderId="0" xfId="0" applyFont="1" applyFill="1"/>
    <xf numFmtId="39" fontId="14" fillId="3" borderId="0" xfId="0" applyNumberFormat="1" applyFont="1" applyFill="1"/>
    <xf numFmtId="7" fontId="18" fillId="3" borderId="0" xfId="0" applyNumberFormat="1" applyFont="1" applyFill="1"/>
    <xf numFmtId="172" fontId="14" fillId="0" borderId="0" xfId="0" applyNumberFormat="1" applyFont="1" applyProtection="1"/>
    <xf numFmtId="39" fontId="14" fillId="0" borderId="0" xfId="0" applyNumberFormat="1" applyFont="1" applyProtection="1"/>
    <xf numFmtId="39" fontId="14" fillId="3" borderId="0" xfId="0" applyNumberFormat="1" applyFont="1" applyFill="1" applyBorder="1"/>
    <xf numFmtId="39" fontId="19" fillId="0" borderId="0" xfId="0" applyFont="1"/>
    <xf numFmtId="8" fontId="14" fillId="3" borderId="0" xfId="2" applyFont="1" applyFill="1" applyBorder="1"/>
    <xf numFmtId="39" fontId="14" fillId="0" borderId="9" xfId="0" applyFont="1" applyBorder="1"/>
    <xf numFmtId="39" fontId="14" fillId="0" borderId="16" xfId="0" applyFont="1" applyBorder="1"/>
    <xf numFmtId="43" fontId="14" fillId="0" borderId="0" xfId="0" applyNumberFormat="1" applyFont="1" applyFill="1" applyBorder="1"/>
    <xf numFmtId="39" fontId="14" fillId="0" borderId="9" xfId="0" applyFont="1" applyFill="1" applyBorder="1"/>
    <xf numFmtId="39" fontId="15" fillId="0" borderId="0" xfId="0" applyFont="1" applyFill="1"/>
    <xf numFmtId="164" fontId="15" fillId="0" borderId="0" xfId="0" applyNumberFormat="1" applyFont="1" applyAlignment="1">
      <alignment horizontal="left"/>
    </xf>
    <xf numFmtId="166" fontId="14" fillId="0" borderId="0" xfId="4" applyNumberFormat="1" applyFont="1"/>
    <xf numFmtId="164" fontId="14" fillId="0" borderId="0" xfId="0" applyNumberFormat="1" applyFont="1"/>
    <xf numFmtId="164" fontId="15" fillId="0" borderId="0" xfId="0" applyNumberFormat="1" applyFont="1" applyAlignment="1">
      <alignment horizontal="center"/>
    </xf>
    <xf numFmtId="39" fontId="15" fillId="0" borderId="0" xfId="0" applyFont="1" applyAlignment="1">
      <alignment horizontal="center"/>
    </xf>
    <xf numFmtId="39" fontId="15" fillId="0" borderId="0" xfId="0" applyFont="1" applyBorder="1" applyAlignment="1">
      <alignment horizontal="center"/>
    </xf>
    <xf numFmtId="166" fontId="15" fillId="0" borderId="0" xfId="4" applyNumberFormat="1" applyFont="1" applyFill="1"/>
    <xf numFmtId="164" fontId="19" fillId="0" borderId="0" xfId="0" applyNumberFormat="1" applyFont="1" applyFill="1" applyAlignment="1" applyProtection="1">
      <alignment horizontal="left"/>
      <protection locked="0"/>
    </xf>
    <xf numFmtId="39" fontId="15" fillId="0" borderId="0" xfId="0" applyFont="1" applyFill="1" applyAlignment="1">
      <alignment horizontal="left"/>
    </xf>
    <xf numFmtId="39" fontId="19" fillId="0" borderId="0" xfId="0" applyFont="1" applyFill="1" applyProtection="1">
      <protection locked="0"/>
    </xf>
    <xf numFmtId="164" fontId="15" fillId="0" borderId="0" xfId="0" applyNumberFormat="1" applyFont="1" applyFill="1"/>
    <xf numFmtId="164" fontId="15" fillId="0" borderId="0" xfId="0" applyNumberFormat="1" applyFont="1"/>
    <xf numFmtId="39" fontId="15" fillId="0" borderId="9" xfId="0" applyFont="1" applyBorder="1"/>
    <xf numFmtId="39" fontId="15" fillId="0" borderId="9" xfId="0" applyFont="1" applyFill="1" applyBorder="1"/>
    <xf numFmtId="39" fontId="14" fillId="0" borderId="0" xfId="0" applyFont="1" applyFill="1" applyBorder="1" applyAlignment="1">
      <alignment horizontal="right"/>
    </xf>
    <xf numFmtId="39" fontId="14" fillId="0" borderId="0" xfId="0" applyFont="1" applyFill="1" applyAlignment="1">
      <alignment horizontal="right"/>
    </xf>
    <xf numFmtId="39" fontId="14" fillId="0" borderId="0" xfId="0" applyFont="1" applyBorder="1" applyAlignment="1">
      <alignment horizontal="right"/>
    </xf>
    <xf numFmtId="8" fontId="15" fillId="0" borderId="0" xfId="2" applyFont="1" applyFill="1" applyBorder="1"/>
    <xf numFmtId="39" fontId="20" fillId="0" borderId="0" xfId="0" applyFont="1"/>
    <xf numFmtId="37" fontId="15" fillId="0" borderId="0" xfId="0" applyNumberFormat="1" applyFont="1" applyAlignment="1">
      <alignment horizontal="left"/>
    </xf>
    <xf numFmtId="37" fontId="15" fillId="0" borderId="0" xfId="0" applyNumberFormat="1" applyFont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39" fontId="15" fillId="0" borderId="18" xfId="0" applyFont="1" applyBorder="1" applyAlignment="1">
      <alignment horizontal="left"/>
    </xf>
    <xf numFmtId="39" fontId="14" fillId="0" borderId="19" xfId="0" applyFont="1" applyBorder="1" applyAlignment="1">
      <alignment horizontal="center"/>
    </xf>
    <xf numFmtId="39" fontId="15" fillId="0" borderId="19" xfId="0" applyFont="1" applyBorder="1" applyAlignment="1">
      <alignment horizontal="center"/>
    </xf>
    <xf numFmtId="173" fontId="19" fillId="0" borderId="19" xfId="0" applyNumberFormat="1" applyFont="1" applyFill="1" applyBorder="1" applyAlignment="1">
      <alignment horizontal="center"/>
    </xf>
    <xf numFmtId="43" fontId="15" fillId="0" borderId="8" xfId="0" applyNumberFormat="1" applyFont="1" applyBorder="1"/>
    <xf numFmtId="37" fontId="15" fillId="0" borderId="19" xfId="0" applyNumberFormat="1" applyFont="1" applyBorder="1" applyAlignment="1">
      <alignment horizontal="center"/>
    </xf>
    <xf numFmtId="39" fontId="15" fillId="0" borderId="19" xfId="0" applyFont="1" applyBorder="1"/>
    <xf numFmtId="14" fontId="15" fillId="0" borderId="19" xfId="0" applyNumberFormat="1" applyFont="1" applyBorder="1"/>
    <xf numFmtId="43" fontId="15" fillId="0" borderId="20" xfId="0" applyNumberFormat="1" applyFont="1" applyBorder="1"/>
    <xf numFmtId="39" fontId="15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center" vertical="top"/>
    </xf>
    <xf numFmtId="39" fontId="15" fillId="0" borderId="0" xfId="0" applyFont="1" applyFill="1" applyBorder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9" fillId="0" borderId="0" xfId="0" applyFont="1" applyFill="1"/>
    <xf numFmtId="39" fontId="21" fillId="0" borderId="0" xfId="0" applyFont="1" applyFill="1" applyBorder="1"/>
    <xf numFmtId="39" fontId="21" fillId="0" borderId="8" xfId="0" applyFont="1" applyFill="1" applyBorder="1"/>
    <xf numFmtId="14" fontId="15" fillId="0" borderId="0" xfId="0" applyNumberFormat="1" applyFont="1" applyFill="1"/>
    <xf numFmtId="164" fontId="13" fillId="0" borderId="0" xfId="0" quotePrefix="1" applyNumberFormat="1" applyFont="1" applyFill="1" applyBorder="1"/>
    <xf numFmtId="39" fontId="20" fillId="0" borderId="0" xfId="0" applyFont="1" applyFill="1" applyBorder="1"/>
    <xf numFmtId="39" fontId="21" fillId="0" borderId="11" xfId="0" applyFont="1" applyFill="1" applyBorder="1"/>
    <xf numFmtId="39" fontId="21" fillId="0" borderId="17" xfId="0" applyFont="1" applyFill="1" applyBorder="1"/>
    <xf numFmtId="37" fontId="15" fillId="0" borderId="0" xfId="0" applyNumberFormat="1" applyFont="1" applyFill="1" applyAlignment="1">
      <alignment horizontal="center"/>
    </xf>
    <xf numFmtId="174" fontId="14" fillId="0" borderId="0" xfId="0" applyNumberFormat="1" applyFont="1"/>
    <xf numFmtId="7" fontId="14" fillId="0" borderId="3" xfId="0" applyNumberFormat="1" applyFont="1" applyFill="1" applyBorder="1"/>
    <xf numFmtId="39" fontId="14" fillId="0" borderId="8" xfId="0" applyFont="1" applyFill="1" applyBorder="1"/>
    <xf numFmtId="9" fontId="19" fillId="0" borderId="0" xfId="4" applyFont="1" applyFill="1" applyAlignment="1">
      <alignment horizontal="center"/>
    </xf>
    <xf numFmtId="44" fontId="14" fillId="0" borderId="0" xfId="0" applyNumberFormat="1" applyFont="1" applyFill="1" applyBorder="1"/>
    <xf numFmtId="44" fontId="15" fillId="5" borderId="0" xfId="0" applyNumberFormat="1" applyFont="1" applyFill="1" applyBorder="1"/>
    <xf numFmtId="39" fontId="15" fillId="0" borderId="10" xfId="0" applyFont="1" applyFill="1" applyBorder="1"/>
    <xf numFmtId="164" fontId="15" fillId="0" borderId="0" xfId="0" applyNumberFormat="1" applyFont="1" applyFill="1" applyAlignment="1">
      <alignment horizontal="left"/>
    </xf>
    <xf numFmtId="164" fontId="15" fillId="0" borderId="0" xfId="0" applyNumberFormat="1" applyFont="1" applyFill="1" applyAlignment="1" applyProtection="1">
      <alignment horizontal="left"/>
      <protection locked="0"/>
    </xf>
    <xf numFmtId="39" fontId="16" fillId="0" borderId="0" xfId="0" applyFont="1" applyFill="1"/>
    <xf numFmtId="39" fontId="24" fillId="0" borderId="0" xfId="0" applyFont="1" applyFill="1" applyAlignment="1">
      <alignment horizontal="center"/>
    </xf>
    <xf numFmtId="43" fontId="14" fillId="0" borderId="6" xfId="0" applyNumberFormat="1" applyFont="1" applyFill="1" applyBorder="1"/>
    <xf numFmtId="7" fontId="14" fillId="0" borderId="2" xfId="0" applyNumberFormat="1" applyFont="1" applyFill="1" applyBorder="1"/>
    <xf numFmtId="167" fontId="14" fillId="0" borderId="8" xfId="0" applyNumberFormat="1" applyFont="1" applyFill="1" applyBorder="1"/>
    <xf numFmtId="43" fontId="14" fillId="0" borderId="5" xfId="0" applyNumberFormat="1" applyFont="1" applyFill="1" applyBorder="1"/>
    <xf numFmtId="39" fontId="21" fillId="0" borderId="6" xfId="0" applyFont="1" applyFill="1" applyBorder="1"/>
    <xf numFmtId="39" fontId="21" fillId="0" borderId="0" xfId="0" applyFont="1" applyFill="1" applyBorder="1" applyAlignment="1">
      <alignment horizontal="right"/>
    </xf>
    <xf numFmtId="39" fontId="15" fillId="0" borderId="1" xfId="0" applyFont="1" applyFill="1" applyBorder="1"/>
    <xf numFmtId="37" fontId="14" fillId="0" borderId="0" xfId="0" applyNumberFormat="1" applyFont="1" applyFill="1" applyBorder="1" applyProtection="1"/>
    <xf numFmtId="44" fontId="15" fillId="0" borderId="0" xfId="2" applyNumberFormat="1" applyFont="1" applyFill="1" applyBorder="1" applyProtection="1"/>
    <xf numFmtId="39" fontId="21" fillId="0" borderId="5" xfId="0" applyFont="1" applyFill="1" applyBorder="1" applyAlignment="1">
      <alignment horizontal="right"/>
    </xf>
    <xf numFmtId="39" fontId="21" fillId="0" borderId="3" xfId="0" applyFont="1" applyFill="1" applyBorder="1" applyAlignment="1">
      <alignment horizontal="right"/>
    </xf>
    <xf numFmtId="39" fontId="21" fillId="0" borderId="5" xfId="0" applyFont="1" applyFill="1" applyBorder="1"/>
    <xf numFmtId="7" fontId="15" fillId="0" borderId="9" xfId="0" applyNumberFormat="1" applyFont="1" applyFill="1" applyBorder="1"/>
    <xf numFmtId="39" fontId="25" fillId="5" borderId="0" xfId="0" applyFont="1" applyFill="1"/>
    <xf numFmtId="171" fontId="19" fillId="0" borderId="0" xfId="0" applyNumberFormat="1" applyFont="1" applyFill="1" applyAlignment="1">
      <alignment horizontal="right"/>
    </xf>
    <xf numFmtId="44" fontId="26" fillId="0" borderId="0" xfId="0" applyNumberFormat="1" applyFont="1" applyFill="1" applyBorder="1"/>
    <xf numFmtId="17" fontId="15" fillId="0" borderId="0" xfId="0" applyNumberFormat="1" applyFont="1" applyFill="1" applyBorder="1" applyAlignment="1">
      <alignment horizontal="left"/>
    </xf>
    <xf numFmtId="8" fontId="14" fillId="0" borderId="0" xfId="2" applyFont="1" applyFill="1"/>
    <xf numFmtId="44" fontId="15" fillId="3" borderId="23" xfId="0" applyNumberFormat="1" applyFont="1" applyFill="1" applyBorder="1"/>
    <xf numFmtId="39" fontId="15" fillId="0" borderId="14" xfId="0" applyFont="1" applyFill="1" applyBorder="1" applyAlignment="1">
      <alignment horizontal="center"/>
    </xf>
    <xf numFmtId="39" fontId="15" fillId="0" borderId="3" xfId="0" applyFont="1" applyFill="1" applyBorder="1" applyAlignment="1">
      <alignment horizontal="center"/>
    </xf>
    <xf numFmtId="39" fontId="15" fillId="0" borderId="6" xfId="0" applyFont="1" applyFill="1" applyBorder="1" applyAlignment="1">
      <alignment horizontal="center"/>
    </xf>
    <xf numFmtId="39" fontId="15" fillId="0" borderId="1" xfId="0" applyFont="1" applyFill="1" applyBorder="1" applyAlignment="1">
      <alignment horizontal="center"/>
    </xf>
    <xf numFmtId="39" fontId="15" fillId="0" borderId="4" xfId="0" applyFont="1" applyFill="1" applyBorder="1" applyAlignment="1">
      <alignment horizontal="center"/>
    </xf>
    <xf numFmtId="39" fontId="15" fillId="0" borderId="5" xfId="0" applyFont="1" applyFill="1" applyBorder="1" applyAlignment="1">
      <alignment horizontal="center"/>
    </xf>
    <xf numFmtId="44" fontId="15" fillId="0" borderId="15" xfId="2" applyNumberFormat="1" applyFont="1" applyFill="1" applyBorder="1" applyProtection="1"/>
    <xf numFmtId="10" fontId="15" fillId="0" borderId="0" xfId="4" applyNumberFormat="1" applyFont="1" applyFill="1"/>
    <xf numFmtId="10" fontId="26" fillId="0" borderId="0" xfId="4" applyNumberFormat="1" applyFont="1" applyFill="1"/>
    <xf numFmtId="44" fontId="14" fillId="4" borderId="0" xfId="0" applyNumberFormat="1" applyFont="1" applyFill="1" applyBorder="1"/>
    <xf numFmtId="171" fontId="19" fillId="0" borderId="0" xfId="0" applyNumberFormat="1" applyFont="1" applyFill="1"/>
    <xf numFmtId="37" fontId="15" fillId="0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/>
    <xf numFmtId="39" fontId="15" fillId="0" borderId="4" xfId="0" applyFont="1" applyFill="1" applyBorder="1"/>
    <xf numFmtId="37" fontId="15" fillId="0" borderId="5" xfId="0" applyNumberFormat="1" applyFont="1" applyFill="1" applyBorder="1" applyAlignment="1">
      <alignment horizontal="center"/>
    </xf>
    <xf numFmtId="37" fontId="15" fillId="0" borderId="0" xfId="0" applyNumberFormat="1" applyFont="1" applyFill="1" applyAlignment="1">
      <alignment horizontal="left"/>
    </xf>
    <xf numFmtId="39" fontId="15" fillId="0" borderId="0" xfId="0" applyFont="1" applyFill="1" applyAlignment="1">
      <alignment horizontal="right"/>
    </xf>
    <xf numFmtId="17" fontId="14" fillId="0" borderId="0" xfId="0" applyNumberFormat="1" applyFont="1" applyFill="1" applyBorder="1"/>
    <xf numFmtId="0" fontId="14" fillId="0" borderId="0" xfId="0" applyNumberFormat="1" applyFont="1"/>
    <xf numFmtId="17" fontId="15" fillId="0" borderId="10" xfId="0" applyNumberFormat="1" applyFont="1" applyBorder="1"/>
    <xf numFmtId="17" fontId="15" fillId="0" borderId="5" xfId="0" applyNumberFormat="1" applyFont="1" applyFill="1" applyBorder="1" applyAlignment="1">
      <alignment horizontal="left"/>
    </xf>
    <xf numFmtId="39" fontId="14" fillId="0" borderId="5" xfId="0" applyFont="1" applyFill="1" applyBorder="1"/>
    <xf numFmtId="39" fontId="14" fillId="0" borderId="11" xfId="0" applyFont="1" applyFill="1" applyBorder="1"/>
    <xf numFmtId="39" fontId="15" fillId="0" borderId="12" xfId="0" applyFont="1" applyFill="1" applyBorder="1" applyAlignment="1">
      <alignment horizontal="center"/>
    </xf>
    <xf numFmtId="39" fontId="15" fillId="0" borderId="13" xfId="0" applyFont="1" applyFill="1" applyBorder="1" applyAlignment="1">
      <alignment horizontal="center"/>
    </xf>
    <xf numFmtId="39" fontId="14" fillId="0" borderId="1" xfId="0" applyFont="1" applyFill="1" applyBorder="1"/>
    <xf numFmtId="39" fontId="14" fillId="0" borderId="2" xfId="0" applyFont="1" applyFill="1" applyBorder="1"/>
    <xf numFmtId="39" fontId="14" fillId="0" borderId="7" xfId="0" applyFont="1" applyFill="1" applyBorder="1"/>
    <xf numFmtId="39" fontId="14" fillId="0" borderId="4" xfId="0" applyFont="1" applyFill="1" applyBorder="1"/>
    <xf numFmtId="39" fontId="22" fillId="0" borderId="0" xfId="0" applyFont="1" applyFill="1"/>
    <xf numFmtId="43" fontId="15" fillId="0" borderId="9" xfId="0" applyNumberFormat="1" applyFont="1" applyFill="1" applyBorder="1"/>
    <xf numFmtId="39" fontId="14" fillId="5" borderId="0" xfId="0" applyNumberFormat="1" applyFont="1" applyFill="1"/>
    <xf numFmtId="39" fontId="15" fillId="0" borderId="22" xfId="0" applyFont="1" applyFill="1" applyBorder="1"/>
    <xf numFmtId="37" fontId="14" fillId="0" borderId="22" xfId="0" applyNumberFormat="1" applyFont="1" applyFill="1" applyBorder="1"/>
    <xf numFmtId="44" fontId="15" fillId="0" borderId="22" xfId="0" applyNumberFormat="1" applyFont="1" applyFill="1" applyBorder="1"/>
    <xf numFmtId="39" fontId="15" fillId="6" borderId="0" xfId="0" applyFont="1" applyFill="1"/>
    <xf numFmtId="169" fontId="15" fillId="0" borderId="14" xfId="0" applyNumberFormat="1" applyFont="1" applyFill="1" applyBorder="1" applyAlignment="1" applyProtection="1">
      <alignment horizontal="center"/>
    </xf>
    <xf numFmtId="169" fontId="15" fillId="0" borderId="15" xfId="0" applyNumberFormat="1" applyFont="1" applyFill="1" applyBorder="1" applyAlignment="1" applyProtection="1">
      <alignment horizontal="center"/>
    </xf>
    <xf numFmtId="39" fontId="15" fillId="0" borderId="15" xfId="0" applyFont="1" applyFill="1" applyBorder="1" applyAlignment="1">
      <alignment horizontal="center"/>
    </xf>
    <xf numFmtId="39" fontId="15" fillId="0" borderId="16" xfId="0" applyFont="1" applyFill="1" applyBorder="1" applyAlignment="1">
      <alignment horizontal="center"/>
    </xf>
    <xf numFmtId="10" fontId="15" fillId="0" borderId="0" xfId="4" applyNumberFormat="1" applyFont="1" applyFill="1" applyAlignment="1">
      <alignment horizontal="center"/>
    </xf>
    <xf numFmtId="168" fontId="14" fillId="0" borderId="0" xfId="0" applyNumberFormat="1" applyFont="1" applyFill="1" applyAlignment="1" applyProtection="1">
      <alignment horizontal="left"/>
    </xf>
    <xf numFmtId="44" fontId="14" fillId="0" borderId="0" xfId="0" applyNumberFormat="1" applyFont="1" applyFill="1" applyProtection="1">
      <protection locked="0"/>
    </xf>
    <xf numFmtId="44" fontId="14" fillId="0" borderId="0" xfId="0" applyNumberFormat="1" applyFont="1" applyFill="1"/>
    <xf numFmtId="39" fontId="14" fillId="0" borderId="0" xfId="0" applyFont="1" applyFill="1" applyAlignment="1">
      <alignment horizontal="left"/>
    </xf>
    <xf numFmtId="44" fontId="14" fillId="0" borderId="9" xfId="0" applyNumberFormat="1" applyFont="1" applyFill="1" applyBorder="1" applyProtection="1">
      <protection locked="0"/>
    </xf>
    <xf numFmtId="39" fontId="17" fillId="0" borderId="0" xfId="0" applyFont="1" applyFill="1"/>
    <xf numFmtId="39" fontId="17" fillId="0" borderId="0" xfId="0" applyFont="1" applyFill="1" applyAlignment="1">
      <alignment horizontal="right"/>
    </xf>
    <xf numFmtId="44" fontId="17" fillId="0" borderId="0" xfId="0" applyNumberFormat="1" applyFont="1" applyFill="1" applyAlignment="1" applyProtection="1">
      <alignment horizontal="center"/>
    </xf>
    <xf numFmtId="44" fontId="14" fillId="0" borderId="0" xfId="0" applyNumberFormat="1" applyFont="1" applyFill="1" applyProtection="1"/>
    <xf numFmtId="168" fontId="15" fillId="0" borderId="0" xfId="0" applyNumberFormat="1" applyFont="1" applyFill="1" applyAlignment="1" applyProtection="1">
      <alignment horizontal="left"/>
    </xf>
    <xf numFmtId="44" fontId="15" fillId="0" borderId="22" xfId="0" applyNumberFormat="1" applyFont="1" applyFill="1" applyBorder="1" applyProtection="1">
      <protection locked="0"/>
    </xf>
    <xf numFmtId="49" fontId="14" fillId="0" borderId="0" xfId="0" applyNumberFormat="1" applyFont="1" applyFill="1" applyProtection="1"/>
    <xf numFmtId="176" fontId="17" fillId="0" borderId="0" xfId="1" applyNumberFormat="1" applyFont="1" applyFill="1"/>
    <xf numFmtId="7" fontId="17" fillId="0" borderId="0" xfId="0" applyNumberFormat="1" applyFont="1" applyFill="1" applyAlignment="1" applyProtection="1">
      <alignment horizontal="center"/>
    </xf>
    <xf numFmtId="7" fontId="14" fillId="0" borderId="0" xfId="0" applyNumberFormat="1" applyFont="1" applyFill="1" applyProtection="1"/>
    <xf numFmtId="37" fontId="14" fillId="0" borderId="22" xfId="0" applyNumberFormat="1" applyFont="1" applyFill="1" applyBorder="1" applyProtection="1"/>
    <xf numFmtId="171" fontId="22" fillId="0" borderId="0" xfId="0" applyNumberFormat="1" applyFont="1" applyFill="1" applyBorder="1" applyAlignment="1" applyProtection="1">
      <alignment horizontal="center"/>
      <protection locked="0"/>
    </xf>
    <xf numFmtId="7" fontId="17" fillId="0" borderId="0" xfId="0" applyNumberFormat="1" applyFont="1" applyFill="1" applyBorder="1" applyAlignment="1" applyProtection="1">
      <alignment horizontal="center"/>
    </xf>
    <xf numFmtId="39" fontId="15" fillId="0" borderId="7" xfId="0" applyFont="1" applyFill="1" applyBorder="1"/>
    <xf numFmtId="39" fontId="15" fillId="0" borderId="8" xfId="0" applyFont="1" applyFill="1" applyBorder="1" applyAlignment="1">
      <alignment horizontal="center"/>
    </xf>
    <xf numFmtId="39" fontId="14" fillId="0" borderId="7" xfId="0" applyFont="1" applyFill="1" applyBorder="1" applyAlignment="1">
      <alignment horizontal="left"/>
    </xf>
    <xf numFmtId="171" fontId="14" fillId="0" borderId="0" xfId="0" applyNumberFormat="1" applyFont="1" applyFill="1" applyBorder="1" applyAlignment="1" applyProtection="1">
      <alignment horizontal="left"/>
      <protection locked="0"/>
    </xf>
    <xf numFmtId="39" fontId="14" fillId="0" borderId="4" xfId="0" applyFont="1" applyFill="1" applyBorder="1" applyAlignment="1">
      <alignment horizontal="left"/>
    </xf>
    <xf numFmtId="171" fontId="14" fillId="0" borderId="5" xfId="0" applyNumberFormat="1" applyFont="1" applyFill="1" applyBorder="1" applyAlignment="1" applyProtection="1">
      <alignment horizontal="left"/>
      <protection locked="0"/>
    </xf>
    <xf numFmtId="8" fontId="15" fillId="0" borderId="8" xfId="2" applyFont="1" applyFill="1" applyBorder="1"/>
    <xf numFmtId="8" fontId="14" fillId="0" borderId="0" xfId="2" applyFont="1" applyFill="1" applyBorder="1"/>
    <xf numFmtId="8" fontId="14" fillId="0" borderId="7" xfId="2" applyFont="1" applyFill="1" applyBorder="1"/>
    <xf numFmtId="165" fontId="14" fillId="0" borderId="0" xfId="4" applyNumberFormat="1" applyFont="1" applyFill="1" applyBorder="1"/>
    <xf numFmtId="39" fontId="15" fillId="0" borderId="4" xfId="0" applyFont="1" applyFill="1" applyBorder="1" applyAlignment="1">
      <alignment horizontal="left"/>
    </xf>
    <xf numFmtId="39" fontId="15" fillId="0" borderId="16" xfId="0" applyFont="1" applyFill="1" applyBorder="1"/>
    <xf numFmtId="44" fontId="14" fillId="0" borderId="8" xfId="2" applyNumberFormat="1" applyFont="1" applyFill="1" applyBorder="1"/>
    <xf numFmtId="44" fontId="15" fillId="0" borderId="21" xfId="2" applyNumberFormat="1" applyFont="1" applyFill="1" applyBorder="1"/>
    <xf numFmtId="8" fontId="14" fillId="0" borderId="8" xfId="2" applyFont="1" applyFill="1" applyBorder="1"/>
    <xf numFmtId="39" fontId="15" fillId="0" borderId="7" xfId="0" applyFont="1" applyFill="1" applyBorder="1" applyAlignment="1">
      <alignment horizontal="right"/>
    </xf>
    <xf numFmtId="39" fontId="14" fillId="0" borderId="7" xfId="0" applyFont="1" applyFill="1" applyBorder="1" applyAlignment="1">
      <alignment horizontal="right"/>
    </xf>
    <xf numFmtId="39" fontId="15" fillId="0" borderId="15" xfId="0" applyFont="1" applyFill="1" applyBorder="1"/>
    <xf numFmtId="39" fontId="14" fillId="6" borderId="0" xfId="0" applyFont="1" applyFill="1"/>
    <xf numFmtId="39" fontId="15" fillId="6" borderId="9" xfId="0" applyFont="1" applyFill="1" applyBorder="1"/>
    <xf numFmtId="2" fontId="14" fillId="5" borderId="0" xfId="0" applyNumberFormat="1" applyFont="1" applyFill="1"/>
    <xf numFmtId="39" fontId="14" fillId="0" borderId="3" xfId="0" applyFont="1" applyFill="1" applyBorder="1"/>
    <xf numFmtId="37" fontId="28" fillId="0" borderId="0" xfId="0" applyNumberFormat="1" applyFont="1" applyFill="1" applyAlignment="1">
      <alignment horizontal="right"/>
    </xf>
    <xf numFmtId="44" fontId="15" fillId="0" borderId="0" xfId="0" applyNumberFormat="1" applyFont="1" applyFill="1"/>
    <xf numFmtId="0" fontId="14" fillId="0" borderId="0" xfId="0" applyNumberFormat="1" applyFont="1" applyFill="1" applyBorder="1"/>
    <xf numFmtId="0" fontId="14" fillId="0" borderId="9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/>
    <xf numFmtId="44" fontId="15" fillId="0" borderId="7" xfId="2" applyNumberFormat="1" applyFont="1" applyFill="1" applyBorder="1" applyProtection="1"/>
    <xf numFmtId="44" fontId="14" fillId="4" borderId="24" xfId="0" applyNumberFormat="1" applyFont="1" applyFill="1" applyBorder="1"/>
    <xf numFmtId="39" fontId="14" fillId="0" borderId="25" xfId="0" applyFont="1" applyBorder="1"/>
    <xf numFmtId="177" fontId="14" fillId="0" borderId="6" xfId="0" applyNumberFormat="1" applyFont="1" applyFill="1" applyBorder="1" applyAlignment="1">
      <alignment horizontal="right"/>
    </xf>
    <xf numFmtId="177" fontId="14" fillId="0" borderId="8" xfId="0" applyNumberFormat="1" applyFont="1" applyFill="1" applyBorder="1"/>
    <xf numFmtId="178" fontId="14" fillId="0" borderId="6" xfId="2" applyNumberFormat="1" applyFont="1" applyFill="1" applyBorder="1"/>
    <xf numFmtId="39" fontId="14" fillId="0" borderId="0" xfId="0" applyFont="1" applyFill="1" applyBorder="1" applyAlignment="1">
      <alignment horizontal="center"/>
    </xf>
    <xf numFmtId="17" fontId="30" fillId="0" borderId="7" xfId="0" applyNumberFormat="1" applyFont="1" applyFill="1" applyBorder="1"/>
    <xf numFmtId="171" fontId="30" fillId="0" borderId="0" xfId="0" applyNumberFormat="1" applyFont="1" applyFill="1" applyAlignment="1">
      <alignment horizontal="right"/>
    </xf>
    <xf numFmtId="39" fontId="15" fillId="6" borderId="0" xfId="0" applyFont="1" applyFill="1" applyBorder="1"/>
    <xf numFmtId="7" fontId="14" fillId="0" borderId="8" xfId="4" applyNumberFormat="1" applyFont="1" applyFill="1" applyBorder="1"/>
    <xf numFmtId="7" fontId="14" fillId="0" borderId="8" xfId="0" applyNumberFormat="1" applyFont="1" applyFill="1" applyBorder="1"/>
    <xf numFmtId="37" fontId="30" fillId="0" borderId="0" xfId="0" applyNumberFormat="1" applyFont="1" applyFill="1"/>
    <xf numFmtId="10" fontId="30" fillId="0" borderId="0" xfId="0" applyNumberFormat="1" applyFont="1" applyFill="1" applyAlignment="1">
      <alignment horizontal="right"/>
    </xf>
    <xf numFmtId="8" fontId="30" fillId="0" borderId="9" xfId="2" applyFont="1" applyFill="1" applyBorder="1"/>
    <xf numFmtId="39" fontId="21" fillId="0" borderId="8" xfId="0" applyFont="1" applyFill="1" applyBorder="1" applyAlignment="1">
      <alignment horizontal="right"/>
    </xf>
    <xf numFmtId="39" fontId="14" fillId="0" borderId="17" xfId="0" applyFont="1" applyBorder="1"/>
    <xf numFmtId="39" fontId="14" fillId="0" borderId="0" xfId="0" applyFont="1" applyFill="1" applyBorder="1" applyAlignment="1">
      <alignment horizontal="center"/>
    </xf>
    <xf numFmtId="37" fontId="29" fillId="0" borderId="0" xfId="0" applyNumberFormat="1" applyFont="1" applyFill="1" applyBorder="1"/>
    <xf numFmtId="37" fontId="30" fillId="0" borderId="0" xfId="0" applyNumberFormat="1" applyFont="1" applyFill="1" applyBorder="1" applyProtection="1"/>
    <xf numFmtId="37" fontId="30" fillId="0" borderId="5" xfId="0" applyNumberFormat="1" applyFont="1" applyFill="1" applyBorder="1" applyProtection="1"/>
    <xf numFmtId="171" fontId="30" fillId="0" borderId="0" xfId="0" applyNumberFormat="1" applyFont="1" applyFill="1" applyBorder="1" applyAlignment="1" applyProtection="1">
      <alignment horizontal="center"/>
      <protection locked="0"/>
    </xf>
    <xf numFmtId="44" fontId="30" fillId="0" borderId="10" xfId="2" applyNumberFormat="1" applyFont="1" applyFill="1" applyBorder="1" applyProtection="1"/>
    <xf numFmtId="44" fontId="30" fillId="0" borderId="11" xfId="2" applyNumberFormat="1" applyFont="1" applyFill="1" applyBorder="1" applyProtection="1"/>
    <xf numFmtId="44" fontId="30" fillId="0" borderId="17" xfId="2" applyNumberFormat="1" applyFont="1" applyFill="1" applyBorder="1" applyProtection="1"/>
    <xf numFmtId="10" fontId="19" fillId="0" borderId="0" xfId="4" applyNumberFormat="1" applyFont="1" applyFill="1"/>
    <xf numFmtId="171" fontId="30" fillId="0" borderId="0" xfId="0" applyNumberFormat="1" applyFont="1" applyFill="1" applyAlignment="1">
      <alignment horizontal="center"/>
    </xf>
    <xf numFmtId="44" fontId="15" fillId="6" borderId="0" xfId="0" applyNumberFormat="1" applyFont="1" applyFill="1" applyBorder="1"/>
    <xf numFmtId="39" fontId="29" fillId="0" borderId="0" xfId="0" applyFont="1"/>
    <xf numFmtId="44" fontId="26" fillId="7" borderId="0" xfId="0" applyNumberFormat="1" applyFont="1" applyFill="1" applyBorder="1"/>
    <xf numFmtId="39" fontId="26" fillId="6" borderId="0" xfId="0" applyFont="1" applyFill="1" applyProtection="1">
      <protection locked="0"/>
    </xf>
    <xf numFmtId="39" fontId="19" fillId="6" borderId="0" xfId="0" applyFont="1" applyFill="1" applyProtection="1">
      <protection locked="0"/>
    </xf>
    <xf numFmtId="39" fontId="19" fillId="6" borderId="0" xfId="0" applyFont="1" applyFill="1"/>
    <xf numFmtId="39" fontId="28" fillId="6" borderId="0" xfId="0" applyNumberFormat="1" applyFont="1" applyFill="1" applyAlignment="1">
      <alignment horizontal="right"/>
    </xf>
    <xf numFmtId="39" fontId="26" fillId="6" borderId="0" xfId="0" applyFont="1" applyFill="1"/>
    <xf numFmtId="2" fontId="14" fillId="0" borderId="0" xfId="0" applyNumberFormat="1" applyFont="1" applyFill="1" applyBorder="1" applyAlignment="1">
      <alignment horizontal="right"/>
    </xf>
    <xf numFmtId="39" fontId="15" fillId="8" borderId="0" xfId="0" applyFont="1" applyFill="1"/>
    <xf numFmtId="39" fontId="26" fillId="8" borderId="0" xfId="0" applyFont="1" applyFill="1" applyProtection="1">
      <protection locked="0"/>
    </xf>
    <xf numFmtId="39" fontId="19" fillId="8" borderId="0" xfId="0" applyFont="1" applyFill="1" applyProtection="1">
      <protection locked="0"/>
    </xf>
    <xf numFmtId="39" fontId="19" fillId="8" borderId="0" xfId="0" applyFont="1" applyFill="1"/>
    <xf numFmtId="37" fontId="19" fillId="8" borderId="0" xfId="0" applyNumberFormat="1" applyFont="1" applyFill="1"/>
    <xf numFmtId="37" fontId="26" fillId="8" borderId="0" xfId="0" applyNumberFormat="1" applyFont="1" applyFill="1" applyBorder="1" applyAlignment="1" applyProtection="1">
      <alignment horizontal="center"/>
    </xf>
    <xf numFmtId="37" fontId="19" fillId="8" borderId="0" xfId="0" applyNumberFormat="1" applyFont="1" applyFill="1" applyAlignment="1">
      <alignment horizontal="right"/>
    </xf>
    <xf numFmtId="37" fontId="14" fillId="8" borderId="22" xfId="0" applyNumberFormat="1" applyFont="1" applyFill="1" applyBorder="1"/>
    <xf numFmtId="37" fontId="30" fillId="8" borderId="0" xfId="0" applyNumberFormat="1" applyFont="1" applyFill="1"/>
    <xf numFmtId="164" fontId="14" fillId="6" borderId="0" xfId="0" applyNumberFormat="1" applyFont="1" applyFill="1"/>
    <xf numFmtId="44" fontId="14" fillId="6" borderId="0" xfId="0" applyNumberFormat="1" applyFont="1" applyFill="1" applyBorder="1"/>
    <xf numFmtId="39" fontId="15" fillId="6" borderId="22" xfId="0" applyFont="1" applyFill="1" applyBorder="1"/>
    <xf numFmtId="39" fontId="15" fillId="6" borderId="0" xfId="0" applyFont="1" applyFill="1" applyAlignment="1">
      <alignment horizontal="right"/>
    </xf>
    <xf numFmtId="7" fontId="14" fillId="4" borderId="0" xfId="0" applyNumberFormat="1" applyFont="1" applyFill="1" applyBorder="1"/>
    <xf numFmtId="44" fontId="15" fillId="0" borderId="26" xfId="2" applyNumberFormat="1" applyFont="1" applyFill="1" applyBorder="1" applyProtection="1"/>
    <xf numFmtId="38" fontId="26" fillId="0" borderId="0" xfId="1" applyNumberFormat="1" applyFont="1" applyFill="1" applyBorder="1" applyProtection="1"/>
    <xf numFmtId="38" fontId="14" fillId="0" borderId="0" xfId="1" applyNumberFormat="1" applyFont="1" applyFill="1" applyBorder="1" applyProtection="1"/>
    <xf numFmtId="38" fontId="26" fillId="0" borderId="9" xfId="1" applyNumberFormat="1" applyFont="1" applyFill="1" applyBorder="1" applyProtection="1"/>
    <xf numFmtId="39" fontId="10" fillId="0" borderId="0" xfId="0" applyFont="1" applyFill="1" applyBorder="1"/>
    <xf numFmtId="175" fontId="33" fillId="9" borderId="0" xfId="0" applyNumberFormat="1" applyFont="1" applyFill="1"/>
    <xf numFmtId="39" fontId="10" fillId="0" borderId="0" xfId="0" applyFont="1"/>
    <xf numFmtId="39" fontId="0" fillId="0" borderId="27" xfId="0" applyBorder="1"/>
    <xf numFmtId="39" fontId="0" fillId="0" borderId="27" xfId="0" applyBorder="1" applyAlignment="1">
      <alignment horizontal="center"/>
    </xf>
    <xf numFmtId="179" fontId="0" fillId="0" borderId="0" xfId="1" applyNumberFormat="1" applyFont="1"/>
    <xf numFmtId="39" fontId="10" fillId="0" borderId="27" xfId="0" applyFont="1" applyBorder="1"/>
    <xf numFmtId="179" fontId="10" fillId="0" borderId="27" xfId="1" applyNumberFormat="1" applyFont="1" applyBorder="1"/>
    <xf numFmtId="38" fontId="14" fillId="0" borderId="0" xfId="1" applyNumberFormat="1" applyFont="1"/>
    <xf numFmtId="0" fontId="35" fillId="0" borderId="0" xfId="6" applyFont="1"/>
    <xf numFmtId="0" fontId="34" fillId="0" borderId="0" xfId="6"/>
    <xf numFmtId="37" fontId="15" fillId="0" borderId="0" xfId="6" applyNumberFormat="1" applyFont="1" applyFill="1" applyBorder="1" applyAlignment="1">
      <alignment horizontal="center"/>
    </xf>
    <xf numFmtId="39" fontId="15" fillId="0" borderId="0" xfId="6" applyNumberFormat="1" applyFont="1" applyFill="1" applyBorder="1" applyAlignment="1">
      <alignment horizontal="center"/>
    </xf>
    <xf numFmtId="14" fontId="15" fillId="0" borderId="0" xfId="6" applyNumberFormat="1" applyFont="1" applyFill="1" applyBorder="1"/>
    <xf numFmtId="43" fontId="15" fillId="0" borderId="8" xfId="6" applyNumberFormat="1" applyFont="1" applyBorder="1"/>
    <xf numFmtId="39" fontId="15" fillId="0" borderId="4" xfId="6" applyNumberFormat="1" applyFont="1" applyFill="1" applyBorder="1"/>
    <xf numFmtId="37" fontId="15" fillId="0" borderId="5" xfId="6" applyNumberFormat="1" applyFont="1" applyFill="1" applyBorder="1" applyAlignment="1">
      <alignment horizontal="center"/>
    </xf>
    <xf numFmtId="39" fontId="15" fillId="0" borderId="5" xfId="6" applyNumberFormat="1" applyFont="1" applyFill="1" applyBorder="1" applyAlignment="1">
      <alignment horizontal="center"/>
    </xf>
    <xf numFmtId="39" fontId="15" fillId="0" borderId="6" xfId="6" applyNumberFormat="1" applyFont="1" applyFill="1" applyBorder="1" applyAlignment="1">
      <alignment horizontal="center"/>
    </xf>
    <xf numFmtId="39" fontId="15" fillId="0" borderId="0" xfId="6" applyNumberFormat="1" applyFont="1" applyFill="1"/>
    <xf numFmtId="37" fontId="15" fillId="0" borderId="0" xfId="6" applyNumberFormat="1" applyFont="1" applyFill="1" applyAlignment="1">
      <alignment horizontal="center"/>
    </xf>
    <xf numFmtId="37" fontId="28" fillId="0" borderId="0" xfId="6" applyNumberFormat="1" applyFont="1" applyFill="1" applyAlignment="1">
      <alignment horizontal="right"/>
    </xf>
    <xf numFmtId="171" fontId="30" fillId="0" borderId="0" xfId="6" applyNumberFormat="1" applyFont="1" applyFill="1" applyBorder="1" applyAlignment="1" applyProtection="1">
      <alignment horizontal="center"/>
      <protection locked="0"/>
    </xf>
    <xf numFmtId="44" fontId="14" fillId="0" borderId="0" xfId="6" applyNumberFormat="1" applyFont="1" applyFill="1"/>
    <xf numFmtId="17" fontId="15" fillId="0" borderId="0" xfId="6" applyNumberFormat="1" applyFont="1" applyFill="1" applyBorder="1" applyAlignment="1">
      <alignment horizontal="left"/>
    </xf>
    <xf numFmtId="39" fontId="14" fillId="0" borderId="0" xfId="6" applyNumberFormat="1" applyFont="1" applyFill="1"/>
    <xf numFmtId="39" fontId="15" fillId="0" borderId="23" xfId="6" applyNumberFormat="1" applyFont="1" applyFill="1" applyBorder="1"/>
    <xf numFmtId="39" fontId="14" fillId="0" borderId="23" xfId="6" applyNumberFormat="1" applyFont="1" applyFill="1" applyBorder="1"/>
    <xf numFmtId="39" fontId="15" fillId="0" borderId="23" xfId="6" applyNumberFormat="1" applyFont="1" applyFill="1" applyBorder="1" applyAlignment="1">
      <alignment horizontal="center"/>
    </xf>
    <xf numFmtId="39" fontId="14" fillId="0" borderId="7" xfId="6" applyNumberFormat="1" applyFont="1" applyFill="1" applyBorder="1"/>
    <xf numFmtId="39" fontId="14" fillId="0" borderId="0" xfId="6" applyNumberFormat="1" applyFont="1" applyFill="1" applyBorder="1"/>
    <xf numFmtId="44" fontId="14" fillId="0" borderId="0" xfId="6" applyNumberFormat="1" applyFont="1" applyFill="1" applyBorder="1"/>
    <xf numFmtId="43" fontId="14" fillId="0" borderId="8" xfId="8" applyFont="1" applyFill="1" applyBorder="1"/>
    <xf numFmtId="39" fontId="14" fillId="0" borderId="4" xfId="6" applyNumberFormat="1" applyFont="1" applyFill="1" applyBorder="1"/>
    <xf numFmtId="39" fontId="14" fillId="0" borderId="5" xfId="6" applyNumberFormat="1" applyFont="1" applyFill="1" applyBorder="1"/>
    <xf numFmtId="43" fontId="14" fillId="0" borderId="5" xfId="6" applyNumberFormat="1" applyFont="1" applyFill="1" applyBorder="1"/>
    <xf numFmtId="43" fontId="14" fillId="0" borderId="6" xfId="6" applyNumberFormat="1" applyFont="1" applyFill="1" applyBorder="1"/>
    <xf numFmtId="44" fontId="14" fillId="4" borderId="0" xfId="6" applyNumberFormat="1" applyFont="1" applyFill="1" applyBorder="1"/>
    <xf numFmtId="44" fontId="14" fillId="0" borderId="9" xfId="6" applyNumberFormat="1" applyFont="1" applyFill="1" applyBorder="1"/>
    <xf numFmtId="37" fontId="14" fillId="0" borderId="22" xfId="6" applyNumberFormat="1" applyFont="1" applyFill="1" applyBorder="1"/>
    <xf numFmtId="39" fontId="15" fillId="0" borderId="0" xfId="6" applyNumberFormat="1" applyFont="1" applyFill="1" applyAlignment="1">
      <alignment horizontal="right"/>
    </xf>
    <xf numFmtId="44" fontId="15" fillId="0" borderId="0" xfId="6" applyNumberFormat="1" applyFont="1" applyFill="1"/>
    <xf numFmtId="37" fontId="29" fillId="0" borderId="0" xfId="6" applyNumberFormat="1" applyFont="1" applyFill="1" applyBorder="1"/>
    <xf numFmtId="14" fontId="15" fillId="0" borderId="0" xfId="6" applyNumberFormat="1" applyFont="1" applyFill="1"/>
    <xf numFmtId="43" fontId="15" fillId="0" borderId="0" xfId="6" applyNumberFormat="1" applyFont="1" applyFill="1" applyBorder="1"/>
    <xf numFmtId="37" fontId="30" fillId="10" borderId="0" xfId="6" applyNumberFormat="1" applyFont="1" applyFill="1"/>
    <xf numFmtId="44" fontId="15" fillId="8" borderId="0" xfId="0" applyNumberFormat="1" applyFont="1" applyFill="1" applyBorder="1"/>
    <xf numFmtId="44" fontId="26" fillId="8" borderId="0" xfId="0" applyNumberFormat="1" applyFont="1" applyFill="1" applyBorder="1"/>
    <xf numFmtId="44" fontId="26" fillId="8" borderId="9" xfId="0" applyNumberFormat="1" applyFont="1" applyFill="1" applyBorder="1"/>
    <xf numFmtId="8" fontId="26" fillId="8" borderId="0" xfId="0" applyNumberFormat="1" applyFont="1" applyFill="1" applyBorder="1"/>
    <xf numFmtId="8" fontId="26" fillId="8" borderId="9" xfId="0" applyNumberFormat="1" applyFont="1" applyFill="1" applyBorder="1"/>
    <xf numFmtId="39" fontId="15" fillId="8" borderId="0" xfId="0" applyFont="1" applyFill="1" applyBorder="1"/>
    <xf numFmtId="37" fontId="29" fillId="8" borderId="0" xfId="0" applyNumberFormat="1" applyFont="1" applyFill="1" applyBorder="1"/>
    <xf numFmtId="39" fontId="14" fillId="0" borderId="4" xfId="0" applyFont="1" applyBorder="1"/>
    <xf numFmtId="39" fontId="14" fillId="0" borderId="6" xfId="0" applyFont="1" applyBorder="1"/>
    <xf numFmtId="181" fontId="14" fillId="0" borderId="0" xfId="0" applyNumberFormat="1" applyFont="1"/>
    <xf numFmtId="181" fontId="15" fillId="0" borderId="20" xfId="0" applyNumberFormat="1" applyFont="1" applyBorder="1" applyAlignment="1">
      <alignment horizontal="center"/>
    </xf>
    <xf numFmtId="181" fontId="15" fillId="0" borderId="8" xfId="0" applyNumberFormat="1" applyFont="1" applyBorder="1" applyAlignment="1">
      <alignment horizontal="center"/>
    </xf>
    <xf numFmtId="181" fontId="15" fillId="0" borderId="6" xfId="0" applyNumberFormat="1" applyFont="1" applyFill="1" applyBorder="1" applyAlignment="1">
      <alignment horizontal="center"/>
    </xf>
    <xf numFmtId="181" fontId="14" fillId="0" borderId="0" xfId="0" applyNumberFormat="1" applyFont="1" applyFill="1"/>
    <xf numFmtId="181" fontId="30" fillId="0" borderId="9" xfId="0" applyNumberFormat="1" applyFont="1" applyFill="1" applyBorder="1"/>
    <xf numFmtId="181" fontId="15" fillId="0" borderId="0" xfId="0" applyNumberFormat="1" applyFont="1" applyFill="1"/>
    <xf numFmtId="181" fontId="14" fillId="0" borderId="9" xfId="0" applyNumberFormat="1" applyFont="1" applyFill="1" applyBorder="1"/>
    <xf numFmtId="181" fontId="15" fillId="0" borderId="9" xfId="0" applyNumberFormat="1" applyFont="1" applyFill="1" applyBorder="1"/>
    <xf numFmtId="181" fontId="15" fillId="0" borderId="22" xfId="0" applyNumberFormat="1" applyFont="1" applyFill="1" applyBorder="1"/>
    <xf numFmtId="7" fontId="14" fillId="6" borderId="0" xfId="0" applyNumberFormat="1" applyFont="1" applyFill="1" applyBorder="1"/>
    <xf numFmtId="39" fontId="14" fillId="0" borderId="0" xfId="0" applyFont="1"/>
    <xf numFmtId="39" fontId="14" fillId="0" borderId="11" xfId="0" applyFont="1" applyBorder="1"/>
    <xf numFmtId="39" fontId="14" fillId="0" borderId="0" xfId="0" applyFont="1" applyFill="1"/>
    <xf numFmtId="39" fontId="13" fillId="0" borderId="7" xfId="0" applyFont="1" applyFill="1" applyBorder="1"/>
    <xf numFmtId="39" fontId="20" fillId="0" borderId="0" xfId="0" applyFont="1" applyFill="1" applyBorder="1"/>
    <xf numFmtId="39" fontId="10" fillId="0" borderId="10" xfId="0" applyFont="1" applyFill="1" applyBorder="1"/>
    <xf numFmtId="39" fontId="20" fillId="0" borderId="8" xfId="0" applyFont="1" applyFill="1" applyBorder="1"/>
    <xf numFmtId="44" fontId="14" fillId="4" borderId="0" xfId="0" applyNumberFormat="1" applyFont="1" applyFill="1" applyBorder="1"/>
    <xf numFmtId="164" fontId="13" fillId="0" borderId="0" xfId="0" applyNumberFormat="1" applyFont="1" applyFill="1" applyBorder="1"/>
    <xf numFmtId="9" fontId="13" fillId="0" borderId="7" xfId="0" applyNumberFormat="1" applyFont="1" applyFill="1" applyBorder="1"/>
    <xf numFmtId="164" fontId="13" fillId="0" borderId="5" xfId="0" quotePrefix="1" applyNumberFormat="1" applyFont="1" applyFill="1" applyBorder="1"/>
    <xf numFmtId="39" fontId="20" fillId="0" borderId="7" xfId="0" applyFont="1" applyFill="1" applyBorder="1"/>
    <xf numFmtId="39" fontId="20" fillId="0" borderId="4" xfId="0" applyFont="1" applyFill="1" applyBorder="1"/>
    <xf numFmtId="39" fontId="13" fillId="0" borderId="0" xfId="0" applyFont="1" applyFill="1" applyBorder="1"/>
    <xf numFmtId="39" fontId="13" fillId="0" borderId="1" xfId="0" applyFont="1" applyFill="1" applyBorder="1"/>
    <xf numFmtId="164" fontId="13" fillId="0" borderId="2" xfId="0" applyNumberFormat="1" applyFont="1" applyFill="1" applyBorder="1"/>
    <xf numFmtId="39" fontId="0" fillId="0" borderId="7" xfId="0" applyFill="1" applyBorder="1"/>
    <xf numFmtId="164" fontId="0" fillId="0" borderId="0" xfId="0" applyNumberFormat="1" applyFill="1" applyBorder="1"/>
    <xf numFmtId="39" fontId="14" fillId="0" borderId="10" xfId="0" applyNumberFormat="1" applyFont="1" applyFill="1" applyBorder="1"/>
    <xf numFmtId="7" fontId="30" fillId="8" borderId="0" xfId="0" applyNumberFormat="1" applyFont="1" applyFill="1" applyBorder="1"/>
    <xf numFmtId="7" fontId="14" fillId="0" borderId="0" xfId="1" applyNumberFormat="1" applyFont="1"/>
    <xf numFmtId="39" fontId="26" fillId="8" borderId="0" xfId="0" applyFont="1" applyFill="1" applyBorder="1" applyProtection="1">
      <protection locked="0"/>
    </xf>
    <xf numFmtId="39" fontId="19" fillId="8" borderId="0" xfId="0" applyFont="1" applyFill="1" applyBorder="1" applyProtection="1">
      <protection locked="0"/>
    </xf>
    <xf numFmtId="39" fontId="19" fillId="8" borderId="0" xfId="0" applyFont="1" applyFill="1" applyBorder="1"/>
    <xf numFmtId="164" fontId="14" fillId="8" borderId="0" xfId="0" applyNumberFormat="1" applyFont="1" applyFill="1" applyBorder="1"/>
    <xf numFmtId="39" fontId="14" fillId="8" borderId="0" xfId="0" applyFont="1" applyFill="1" applyBorder="1"/>
    <xf numFmtId="39" fontId="10" fillId="8" borderId="0" xfId="0" applyFont="1" applyFill="1" applyBorder="1"/>
    <xf numFmtId="164" fontId="19" fillId="8" borderId="0" xfId="0" applyNumberFormat="1" applyFont="1" applyFill="1" applyBorder="1" applyAlignment="1" applyProtection="1">
      <alignment horizontal="left"/>
      <protection locked="0"/>
    </xf>
    <xf numFmtId="39" fontId="15" fillId="8" borderId="0" xfId="0" applyFont="1" applyFill="1" applyBorder="1" applyAlignment="1">
      <alignment horizontal="left"/>
    </xf>
    <xf numFmtId="39" fontId="24" fillId="8" borderId="0" xfId="0" applyFont="1" applyFill="1" applyBorder="1" applyAlignment="1">
      <alignment horizontal="center"/>
    </xf>
    <xf numFmtId="39" fontId="13" fillId="8" borderId="0" xfId="0" applyFont="1" applyFill="1" applyBorder="1"/>
    <xf numFmtId="164" fontId="13" fillId="8" borderId="0" xfId="0" applyNumberFormat="1" applyFont="1" applyFill="1" applyBorder="1"/>
    <xf numFmtId="39" fontId="21" fillId="8" borderId="0" xfId="0" applyFont="1" applyFill="1" applyBorder="1" applyAlignment="1">
      <alignment horizontal="right"/>
    </xf>
    <xf numFmtId="164" fontId="15" fillId="8" borderId="0" xfId="0" applyNumberFormat="1" applyFont="1" applyFill="1" applyBorder="1"/>
    <xf numFmtId="39" fontId="0" fillId="8" borderId="0" xfId="0" applyFill="1" applyBorder="1"/>
    <xf numFmtId="164" fontId="0" fillId="8" borderId="0" xfId="0" applyNumberFormat="1" applyFill="1" applyBorder="1"/>
    <xf numFmtId="39" fontId="16" fillId="8" borderId="0" xfId="0" applyFont="1" applyFill="1" applyBorder="1"/>
    <xf numFmtId="9" fontId="13" fillId="8" borderId="0" xfId="0" applyNumberFormat="1" applyFont="1" applyFill="1" applyBorder="1"/>
    <xf numFmtId="39" fontId="21" fillId="8" borderId="0" xfId="0" applyFont="1" applyFill="1" applyBorder="1"/>
    <xf numFmtId="9" fontId="19" fillId="8" borderId="0" xfId="4" applyFont="1" applyFill="1" applyBorder="1" applyAlignment="1">
      <alignment horizontal="center"/>
    </xf>
    <xf numFmtId="39" fontId="20" fillId="8" borderId="0" xfId="0" applyFont="1" applyFill="1" applyBorder="1"/>
    <xf numFmtId="164" fontId="15" fillId="8" borderId="0" xfId="0" applyNumberFormat="1" applyFont="1" applyFill="1" applyBorder="1" applyAlignment="1" applyProtection="1">
      <alignment horizontal="left"/>
      <protection locked="0"/>
    </xf>
    <xf numFmtId="164" fontId="13" fillId="8" borderId="0" xfId="0" quotePrefix="1" applyNumberFormat="1" applyFont="1" applyFill="1" applyBorder="1"/>
    <xf numFmtId="44" fontId="14" fillId="8" borderId="0" xfId="0" applyNumberFormat="1" applyFont="1" applyFill="1" applyBorder="1"/>
    <xf numFmtId="7" fontId="14" fillId="8" borderId="0" xfId="0" applyNumberFormat="1" applyFont="1" applyFill="1" applyBorder="1"/>
    <xf numFmtId="39" fontId="14" fillId="8" borderId="0" xfId="0" applyFont="1" applyFill="1" applyBorder="1" applyAlignment="1">
      <alignment horizontal="left" indent="2"/>
    </xf>
    <xf numFmtId="39" fontId="15" fillId="8" borderId="0" xfId="0" applyFont="1" applyFill="1" applyBorder="1" applyAlignment="1">
      <alignment horizontal="center"/>
    </xf>
    <xf numFmtId="39" fontId="13" fillId="8" borderId="0" xfId="0" applyFont="1" applyFill="1" applyBorder="1" applyAlignment="1">
      <alignment horizontal="right"/>
    </xf>
    <xf numFmtId="40" fontId="14" fillId="8" borderId="0" xfId="1" applyFont="1" applyFill="1" applyBorder="1"/>
    <xf numFmtId="164" fontId="14" fillId="8" borderId="0" xfId="0" applyNumberFormat="1" applyFont="1" applyFill="1"/>
    <xf numFmtId="39" fontId="15" fillId="8" borderId="9" xfId="0" applyFont="1" applyFill="1" applyBorder="1"/>
    <xf numFmtId="39" fontId="14" fillId="8" borderId="0" xfId="0" applyFont="1" applyFill="1"/>
    <xf numFmtId="39" fontId="15" fillId="8" borderId="22" xfId="0" applyFont="1" applyFill="1" applyBorder="1"/>
    <xf numFmtId="39" fontId="14" fillId="0" borderId="0" xfId="0" applyFont="1"/>
    <xf numFmtId="39" fontId="14" fillId="0" borderId="0" xfId="0" applyFont="1" applyFill="1"/>
    <xf numFmtId="39" fontId="14" fillId="5" borderId="1" xfId="0" applyFont="1" applyFill="1" applyBorder="1"/>
    <xf numFmtId="39" fontId="14" fillId="5" borderId="3" xfId="0" applyFont="1" applyFill="1" applyBorder="1"/>
    <xf numFmtId="39" fontId="15" fillId="6" borderId="0" xfId="0" applyFont="1" applyFill="1" applyBorder="1"/>
    <xf numFmtId="171" fontId="30" fillId="0" borderId="0" xfId="0" applyNumberFormat="1" applyFont="1" applyFill="1" applyBorder="1" applyAlignment="1" applyProtection="1">
      <alignment horizontal="center"/>
      <protection locked="0"/>
    </xf>
    <xf numFmtId="39" fontId="15" fillId="6" borderId="22" xfId="0" applyFont="1" applyFill="1" applyBorder="1"/>
    <xf numFmtId="39" fontId="21" fillId="0" borderId="6" xfId="0" applyFont="1" applyFill="1" applyBorder="1" applyAlignment="1">
      <alignment horizontal="right"/>
    </xf>
    <xf numFmtId="39" fontId="0" fillId="0" borderId="1" xfId="0" applyFill="1" applyBorder="1"/>
    <xf numFmtId="164" fontId="0" fillId="0" borderId="2" xfId="0" applyNumberFormat="1" applyFill="1" applyBorder="1"/>
    <xf numFmtId="181" fontId="14" fillId="0" borderId="3" xfId="4" applyNumberFormat="1" applyFont="1" applyFill="1" applyBorder="1"/>
    <xf numFmtId="181" fontId="14" fillId="0" borderId="0" xfId="4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41" fillId="0" borderId="0" xfId="0" applyNumberFormat="1" applyFont="1"/>
    <xf numFmtId="39" fontId="14" fillId="0" borderId="0" xfId="0" applyFont="1" applyFill="1" applyBorder="1" applyAlignment="1">
      <alignment horizontal="center"/>
    </xf>
    <xf numFmtId="17" fontId="15" fillId="6" borderId="5" xfId="0" applyNumberFormat="1" applyFont="1" applyFill="1" applyBorder="1" applyAlignment="1">
      <alignment horizontal="left"/>
    </xf>
    <xf numFmtId="39" fontId="14" fillId="6" borderId="5" xfId="0" applyFont="1" applyFill="1" applyBorder="1"/>
    <xf numFmtId="39" fontId="15" fillId="6" borderId="10" xfId="0" applyFont="1" applyFill="1" applyBorder="1"/>
    <xf numFmtId="39" fontId="14" fillId="6" borderId="11" xfId="0" applyFont="1" applyFill="1" applyBorder="1"/>
    <xf numFmtId="39" fontId="15" fillId="6" borderId="12" xfId="0" applyFont="1" applyFill="1" applyBorder="1" applyAlignment="1">
      <alignment horizontal="center"/>
    </xf>
    <xf numFmtId="39" fontId="15" fillId="6" borderId="13" xfId="0" applyFont="1" applyFill="1" applyBorder="1" applyAlignment="1">
      <alignment horizontal="center"/>
    </xf>
    <xf numFmtId="39" fontId="14" fillId="6" borderId="1" xfId="0" applyFont="1" applyFill="1" applyBorder="1"/>
    <xf numFmtId="39" fontId="14" fillId="6" borderId="2" xfId="0" applyFont="1" applyFill="1" applyBorder="1"/>
    <xf numFmtId="7" fontId="14" fillId="6" borderId="2" xfId="0" applyNumberFormat="1" applyFont="1" applyFill="1" applyBorder="1"/>
    <xf numFmtId="181" fontId="14" fillId="6" borderId="3" xfId="4" applyNumberFormat="1" applyFont="1" applyFill="1" applyBorder="1"/>
    <xf numFmtId="39" fontId="14" fillId="6" borderId="7" xfId="0" applyFont="1" applyFill="1" applyBorder="1"/>
    <xf numFmtId="39" fontId="14" fillId="6" borderId="0" xfId="0" applyFont="1" applyFill="1" applyBorder="1"/>
    <xf numFmtId="181" fontId="14" fillId="6" borderId="0" xfId="4" applyNumberFormat="1" applyFont="1" applyFill="1" applyBorder="1"/>
    <xf numFmtId="7" fontId="14" fillId="6" borderId="8" xfId="4" applyNumberFormat="1" applyFont="1" applyFill="1" applyBorder="1"/>
    <xf numFmtId="39" fontId="14" fillId="6" borderId="8" xfId="0" applyFont="1" applyFill="1" applyBorder="1"/>
    <xf numFmtId="167" fontId="14" fillId="6" borderId="8" xfId="0" applyNumberFormat="1" applyFont="1" applyFill="1" applyBorder="1"/>
    <xf numFmtId="39" fontId="14" fillId="6" borderId="4" xfId="0" applyFont="1" applyFill="1" applyBorder="1"/>
    <xf numFmtId="43" fontId="14" fillId="6" borderId="5" xfId="0" applyNumberFormat="1" applyFont="1" applyFill="1" applyBorder="1"/>
    <xf numFmtId="7" fontId="14" fillId="6" borderId="6" xfId="0" applyNumberFormat="1" applyFont="1" applyFill="1" applyBorder="1"/>
    <xf numFmtId="39" fontId="10" fillId="6" borderId="10" xfId="0" applyFont="1" applyFill="1" applyBorder="1"/>
    <xf numFmtId="39" fontId="14" fillId="6" borderId="17" xfId="0" applyFont="1" applyFill="1" applyBorder="1"/>
    <xf numFmtId="164" fontId="19" fillId="6" borderId="0" xfId="0" applyNumberFormat="1" applyFont="1" applyFill="1" applyAlignment="1" applyProtection="1">
      <alignment horizontal="left"/>
      <protection locked="0"/>
    </xf>
    <xf numFmtId="39" fontId="15" fillId="6" borderId="0" xfId="0" applyFont="1" applyFill="1" applyAlignment="1">
      <alignment horizontal="left"/>
    </xf>
    <xf numFmtId="39" fontId="24" fillId="6" borderId="0" xfId="0" applyFont="1" applyFill="1" applyAlignment="1">
      <alignment horizontal="center"/>
    </xf>
    <xf numFmtId="39" fontId="13" fillId="6" borderId="1" xfId="0" applyFont="1" applyFill="1" applyBorder="1"/>
    <xf numFmtId="164" fontId="13" fillId="6" borderId="2" xfId="0" applyNumberFormat="1" applyFont="1" applyFill="1" applyBorder="1"/>
    <xf numFmtId="39" fontId="21" fillId="6" borderId="0" xfId="0" applyFont="1" applyFill="1" applyBorder="1" applyAlignment="1">
      <alignment horizontal="right"/>
    </xf>
    <xf numFmtId="39" fontId="21" fillId="6" borderId="3" xfId="0" applyFont="1" applyFill="1" applyBorder="1" applyAlignment="1">
      <alignment horizontal="right"/>
    </xf>
    <xf numFmtId="164" fontId="15" fillId="6" borderId="0" xfId="0" applyNumberFormat="1" applyFont="1" applyFill="1"/>
    <xf numFmtId="39" fontId="0" fillId="6" borderId="7" xfId="0" applyFill="1" applyBorder="1"/>
    <xf numFmtId="164" fontId="0" fillId="6" borderId="0" xfId="0" applyNumberFormat="1" applyFill="1" applyBorder="1"/>
    <xf numFmtId="39" fontId="21" fillId="6" borderId="8" xfId="0" applyFont="1" applyFill="1" applyBorder="1" applyAlignment="1">
      <alignment horizontal="right"/>
    </xf>
    <xf numFmtId="39" fontId="16" fillId="6" borderId="0" xfId="0" applyFont="1" applyFill="1"/>
    <xf numFmtId="9" fontId="19" fillId="6" borderId="0" xfId="4" applyFont="1" applyFill="1" applyAlignment="1">
      <alignment horizontal="center"/>
    </xf>
    <xf numFmtId="9" fontId="13" fillId="6" borderId="7" xfId="0" applyNumberFormat="1" applyFont="1" applyFill="1" applyBorder="1"/>
    <xf numFmtId="164" fontId="13" fillId="6" borderId="0" xfId="0" applyNumberFormat="1" applyFont="1" applyFill="1" applyBorder="1"/>
    <xf numFmtId="39" fontId="21" fillId="6" borderId="0" xfId="0" applyFont="1" applyFill="1" applyBorder="1"/>
    <xf numFmtId="39" fontId="21" fillId="6" borderId="8" xfId="0" applyFont="1" applyFill="1" applyBorder="1"/>
    <xf numFmtId="164" fontId="15" fillId="6" borderId="0" xfId="0" applyNumberFormat="1" applyFont="1" applyFill="1" applyAlignment="1" applyProtection="1">
      <alignment horizontal="left"/>
      <protection locked="0"/>
    </xf>
    <xf numFmtId="39" fontId="20" fillId="6" borderId="7" xfId="0" applyFont="1" applyFill="1" applyBorder="1"/>
    <xf numFmtId="39" fontId="20" fillId="6" borderId="4" xfId="0" applyFont="1" applyFill="1" applyBorder="1"/>
    <xf numFmtId="164" fontId="13" fillId="6" borderId="5" xfId="0" quotePrefix="1" applyNumberFormat="1" applyFont="1" applyFill="1" applyBorder="1"/>
    <xf numFmtId="39" fontId="21" fillId="6" borderId="5" xfId="0" applyFont="1" applyFill="1" applyBorder="1"/>
    <xf numFmtId="39" fontId="21" fillId="6" borderId="6" xfId="0" applyFont="1" applyFill="1" applyBorder="1"/>
    <xf numFmtId="14" fontId="15" fillId="0" borderId="0" xfId="0" applyNumberFormat="1" applyFont="1" applyFill="1" applyAlignment="1">
      <alignment horizontal="right"/>
    </xf>
    <xf numFmtId="39" fontId="15" fillId="0" borderId="0" xfId="0" applyNumberFormat="1" applyFont="1" applyFill="1"/>
    <xf numFmtId="166" fontId="15" fillId="0" borderId="0" xfId="4" applyNumberFormat="1" applyFont="1" applyFill="1" applyAlignment="1">
      <alignment horizontal="center"/>
    </xf>
    <xf numFmtId="39" fontId="14" fillId="0" borderId="0" xfId="0" applyFont="1" applyFill="1" applyBorder="1" applyAlignment="1">
      <alignment horizontal="center"/>
    </xf>
    <xf numFmtId="0" fontId="35" fillId="0" borderId="0" xfId="6" applyFont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4" fillId="0" borderId="23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164" fontId="14" fillId="6" borderId="0" xfId="0" applyNumberFormat="1" applyFont="1" applyFill="1" applyBorder="1"/>
    <xf numFmtId="40" fontId="14" fillId="0" borderId="8" xfId="1" applyFont="1" applyFill="1" applyBorder="1"/>
    <xf numFmtId="17" fontId="15" fillId="0" borderId="0" xfId="0" applyNumberFormat="1" applyFont="1" applyFill="1" applyBorder="1" applyAlignment="1">
      <alignment horizontal="right"/>
    </xf>
    <xf numFmtId="40" fontId="14" fillId="0" borderId="5" xfId="1" applyFont="1" applyFill="1" applyBorder="1"/>
    <xf numFmtId="181" fontId="15" fillId="6" borderId="0" xfId="0" applyNumberFormat="1" applyFont="1" applyFill="1" applyBorder="1"/>
    <xf numFmtId="181" fontId="15" fillId="6" borderId="22" xfId="0" applyNumberFormat="1" applyFont="1" applyFill="1" applyBorder="1"/>
    <xf numFmtId="0" fontId="14" fillId="0" borderId="8" xfId="2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quotePrefix="1" applyFont="1" applyFill="1" applyBorder="1"/>
    <xf numFmtId="40" fontId="14" fillId="0" borderId="2" xfId="1" applyFont="1" applyFill="1" applyBorder="1"/>
    <xf numFmtId="40" fontId="14" fillId="0" borderId="3" xfId="1" applyFont="1" applyFill="1" applyBorder="1"/>
    <xf numFmtId="40" fontId="14" fillId="0" borderId="0" xfId="1" applyFont="1" applyFill="1" applyBorder="1"/>
    <xf numFmtId="40" fontId="14" fillId="0" borderId="6" xfId="1" applyFont="1" applyFill="1" applyBorder="1"/>
    <xf numFmtId="39" fontId="14" fillId="0" borderId="0" xfId="0" applyFont="1" applyFill="1" applyBorder="1" applyAlignment="1">
      <alignment horizontal="center"/>
    </xf>
    <xf numFmtId="39" fontId="14" fillId="8" borderId="0" xfId="0" applyFont="1" applyFill="1" applyAlignment="1">
      <alignment horizontal="center"/>
    </xf>
    <xf numFmtId="39" fontId="15" fillId="0" borderId="28" xfId="0" applyFont="1" applyFill="1" applyBorder="1"/>
    <xf numFmtId="39" fontId="15" fillId="11" borderId="0" xfId="0" applyFont="1" applyFill="1" applyBorder="1" applyAlignment="1">
      <alignment horizontal="right"/>
    </xf>
    <xf numFmtId="39" fontId="15" fillId="11" borderId="0" xfId="0" applyFont="1" applyFill="1" applyBorder="1"/>
    <xf numFmtId="0" fontId="15" fillId="11" borderId="0" xfId="0" applyNumberFormat="1" applyFont="1" applyFill="1" applyBorder="1"/>
    <xf numFmtId="39" fontId="43" fillId="8" borderId="0" xfId="0" applyFont="1" applyFill="1"/>
    <xf numFmtId="39" fontId="44" fillId="8" borderId="0" xfId="0" applyFont="1" applyFill="1" applyAlignment="1">
      <alignment horizontal="right"/>
    </xf>
    <xf numFmtId="39" fontId="44" fillId="8" borderId="0" xfId="0" applyFont="1" applyFill="1"/>
    <xf numFmtId="39" fontId="45" fillId="8" borderId="0" xfId="0" applyFont="1" applyFill="1"/>
    <xf numFmtId="0" fontId="45" fillId="8" borderId="0" xfId="0" applyNumberFormat="1" applyFont="1" applyFill="1"/>
    <xf numFmtId="39" fontId="45" fillId="8" borderId="0" xfId="0" applyFont="1" applyFill="1" applyAlignment="1">
      <alignment horizontal="right"/>
    </xf>
    <xf numFmtId="39" fontId="45" fillId="8" borderId="0" xfId="0" applyFont="1" applyFill="1" applyAlignment="1">
      <alignment horizontal="center"/>
    </xf>
    <xf numFmtId="39" fontId="45" fillId="8" borderId="0" xfId="0" applyFont="1" applyFill="1" applyAlignment="1">
      <alignment horizontal="center" wrapText="1"/>
    </xf>
    <xf numFmtId="10" fontId="44" fillId="8" borderId="0" xfId="4" applyNumberFormat="1" applyFont="1" applyFill="1"/>
    <xf numFmtId="39" fontId="46" fillId="8" borderId="0" xfId="0" applyFont="1" applyFill="1"/>
    <xf numFmtId="39" fontId="44" fillId="12" borderId="0" xfId="0" applyFont="1" applyFill="1"/>
    <xf numFmtId="38" fontId="44" fillId="8" borderId="0" xfId="1" applyNumberFormat="1" applyFont="1" applyFill="1"/>
    <xf numFmtId="171" fontId="44" fillId="8" borderId="0" xfId="0" applyNumberFormat="1" applyFont="1" applyFill="1"/>
    <xf numFmtId="39" fontId="44" fillId="8" borderId="0" xfId="0" applyFont="1" applyFill="1" applyAlignment="1">
      <alignment horizontal="center"/>
    </xf>
    <xf numFmtId="40" fontId="44" fillId="8" borderId="0" xfId="1" applyNumberFormat="1" applyFont="1" applyFill="1"/>
    <xf numFmtId="38" fontId="44" fillId="8" borderId="0" xfId="1" applyNumberFormat="1" applyFont="1" applyFill="1" applyAlignment="1">
      <alignment horizontal="center"/>
    </xf>
    <xf numFmtId="171" fontId="44" fillId="8" borderId="0" xfId="0" applyNumberFormat="1" applyFont="1" applyFill="1" applyAlignment="1">
      <alignment horizontal="center"/>
    </xf>
    <xf numFmtId="39" fontId="14" fillId="8" borderId="1" xfId="0" applyFont="1" applyFill="1" applyBorder="1"/>
    <xf numFmtId="39" fontId="14" fillId="8" borderId="2" xfId="0" applyFont="1" applyFill="1" applyBorder="1"/>
    <xf numFmtId="39" fontId="14" fillId="8" borderId="7" xfId="0" applyFont="1" applyFill="1" applyBorder="1"/>
    <xf numFmtId="40" fontId="14" fillId="8" borderId="8" xfId="1" applyFont="1" applyFill="1" applyBorder="1"/>
    <xf numFmtId="39" fontId="14" fillId="8" borderId="4" xfId="0" applyFont="1" applyFill="1" applyBorder="1"/>
    <xf numFmtId="39" fontId="14" fillId="8" borderId="5" xfId="0" applyFont="1" applyFill="1" applyBorder="1"/>
    <xf numFmtId="40" fontId="14" fillId="8" borderId="5" xfId="1" applyFont="1" applyFill="1" applyBorder="1"/>
    <xf numFmtId="0" fontId="47" fillId="0" borderId="0" xfId="69" applyFont="1" applyFill="1" applyBorder="1" applyAlignment="1">
      <alignment horizontal="center"/>
    </xf>
    <xf numFmtId="182" fontId="47" fillId="0" borderId="0" xfId="69" applyNumberFormat="1" applyFont="1" applyFill="1" applyBorder="1" applyAlignment="1">
      <alignment horizontal="left"/>
    </xf>
    <xf numFmtId="0" fontId="47" fillId="0" borderId="0" xfId="69" applyFont="1" applyFill="1" applyBorder="1"/>
    <xf numFmtId="183" fontId="47" fillId="0" borderId="0" xfId="69" applyNumberFormat="1" applyFont="1" applyFill="1" applyBorder="1" applyAlignment="1">
      <alignment horizontal="left"/>
    </xf>
    <xf numFmtId="43" fontId="47" fillId="0" borderId="0" xfId="74" applyFont="1" applyFill="1" applyBorder="1" applyAlignment="1">
      <alignment horizontal="center"/>
    </xf>
    <xf numFmtId="0" fontId="4" fillId="0" borderId="0" xfId="69" applyFont="1" applyBorder="1" applyAlignment="1">
      <alignment horizontal="center"/>
    </xf>
    <xf numFmtId="0" fontId="4" fillId="0" borderId="0" xfId="69" applyFont="1" applyBorder="1"/>
    <xf numFmtId="0" fontId="47" fillId="0" borderId="0" xfId="69" applyNumberFormat="1" applyFont="1" applyFill="1" applyBorder="1" applyAlignment="1">
      <alignment horizontal="center"/>
    </xf>
    <xf numFmtId="43" fontId="0" fillId="0" borderId="0" xfId="74" applyFont="1" applyFill="1" applyBorder="1" applyAlignment="1">
      <alignment horizontal="center"/>
    </xf>
    <xf numFmtId="0" fontId="45" fillId="8" borderId="1" xfId="0" applyNumberFormat="1" applyFont="1" applyFill="1" applyBorder="1"/>
    <xf numFmtId="39" fontId="44" fillId="8" borderId="2" xfId="0" applyFont="1" applyFill="1" applyBorder="1"/>
    <xf numFmtId="39" fontId="44" fillId="8" borderId="3" xfId="0" applyFont="1" applyFill="1" applyBorder="1"/>
    <xf numFmtId="39" fontId="44" fillId="8" borderId="4" xfId="0" applyFont="1" applyFill="1" applyBorder="1"/>
    <xf numFmtId="39" fontId="44" fillId="8" borderId="5" xfId="0" applyFont="1" applyFill="1" applyBorder="1"/>
    <xf numFmtId="39" fontId="44" fillId="8" borderId="6" xfId="0" applyFont="1" applyFill="1" applyBorder="1"/>
    <xf numFmtId="40" fontId="14" fillId="8" borderId="2" xfId="1" applyFont="1" applyFill="1" applyBorder="1"/>
    <xf numFmtId="40" fontId="14" fillId="8" borderId="3" xfId="1" applyFont="1" applyFill="1" applyBorder="1"/>
    <xf numFmtId="40" fontId="14" fillId="8" borderId="6" xfId="1" applyFont="1" applyFill="1" applyBorder="1"/>
    <xf numFmtId="0" fontId="45" fillId="8" borderId="10" xfId="0" applyNumberFormat="1" applyFont="1" applyFill="1" applyBorder="1"/>
    <xf numFmtId="39" fontId="44" fillId="8" borderId="11" xfId="0" applyFont="1" applyFill="1" applyBorder="1"/>
    <xf numFmtId="39" fontId="44" fillId="8" borderId="17" xfId="0" applyFont="1" applyFill="1" applyBorder="1"/>
    <xf numFmtId="0" fontId="44" fillId="8" borderId="0" xfId="0" applyNumberFormat="1" applyFont="1" applyFill="1"/>
    <xf numFmtId="0" fontId="44" fillId="8" borderId="2" xfId="0" applyNumberFormat="1" applyFont="1" applyFill="1" applyBorder="1"/>
    <xf numFmtId="0" fontId="14" fillId="8" borderId="2" xfId="0" applyNumberFormat="1" applyFont="1" applyFill="1" applyBorder="1"/>
    <xf numFmtId="0" fontId="14" fillId="8" borderId="0" xfId="0" applyNumberFormat="1" applyFont="1" applyFill="1" applyBorder="1"/>
    <xf numFmtId="0" fontId="14" fillId="8" borderId="5" xfId="0" applyNumberFormat="1" applyFont="1" applyFill="1" applyBorder="1"/>
    <xf numFmtId="0" fontId="44" fillId="8" borderId="5" xfId="0" applyNumberFormat="1" applyFont="1" applyFill="1" applyBorder="1"/>
    <xf numFmtId="0" fontId="44" fillId="8" borderId="11" xfId="0" applyNumberFormat="1" applyFont="1" applyFill="1" applyBorder="1"/>
    <xf numFmtId="39" fontId="4" fillId="0" borderId="0" xfId="69" applyNumberFormat="1" applyFont="1" applyAlignment="1"/>
    <xf numFmtId="0" fontId="30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39" fontId="45" fillId="8" borderId="0" xfId="0" applyFont="1" applyFill="1" applyAlignment="1"/>
    <xf numFmtId="0" fontId="45" fillId="8" borderId="0" xfId="0" applyNumberFormat="1" applyFont="1" applyFill="1" applyAlignment="1">
      <alignment horizontal="right"/>
    </xf>
    <xf numFmtId="39" fontId="46" fillId="12" borderId="0" xfId="0" applyFont="1" applyFill="1"/>
    <xf numFmtId="39" fontId="44" fillId="10" borderId="0" xfId="0" applyFont="1" applyFill="1"/>
    <xf numFmtId="40" fontId="44" fillId="8" borderId="0" xfId="0" applyNumberFormat="1" applyFont="1" applyFill="1"/>
    <xf numFmtId="39" fontId="14" fillId="0" borderId="0" xfId="0" applyFont="1" applyFill="1" applyBorder="1" applyAlignment="1">
      <alignment horizontal="center"/>
    </xf>
    <xf numFmtId="39" fontId="48" fillId="8" borderId="29" xfId="73" applyNumberFormat="1" applyFont="1" applyFill="1"/>
    <xf numFmtId="37" fontId="48" fillId="8" borderId="29" xfId="73" applyNumberFormat="1" applyFont="1" applyFill="1"/>
    <xf numFmtId="37" fontId="44" fillId="8" borderId="0" xfId="0" applyNumberFormat="1" applyFont="1" applyFill="1"/>
    <xf numFmtId="0" fontId="49" fillId="8" borderId="1" xfId="0" applyNumberFormat="1" applyFont="1" applyFill="1" applyBorder="1"/>
    <xf numFmtId="7" fontId="0" fillId="0" borderId="0" xfId="1" applyNumberFormat="1" applyFont="1"/>
    <xf numFmtId="39" fontId="47" fillId="0" borderId="0" xfId="0" applyNumberFormat="1" applyFont="1" applyFill="1"/>
    <xf numFmtId="39" fontId="0" fillId="0" borderId="27" xfId="0" applyBorder="1" applyAlignment="1">
      <alignment horizontal="center"/>
    </xf>
    <xf numFmtId="39" fontId="0" fillId="0" borderId="27" xfId="0" applyBorder="1" applyAlignment="1">
      <alignment horizontal="center"/>
    </xf>
    <xf numFmtId="39" fontId="0" fillId="0" borderId="0" xfId="0"/>
    <xf numFmtId="39" fontId="0" fillId="0" borderId="27" xfId="0" applyBorder="1" applyAlignment="1">
      <alignment horizontal="center"/>
    </xf>
    <xf numFmtId="39" fontId="41" fillId="0" borderId="0" xfId="0" applyNumberFormat="1" applyFont="1" applyAlignment="1">
      <alignment horizontal="right"/>
    </xf>
    <xf numFmtId="39" fontId="52" fillId="0" borderId="0" xfId="0" applyFont="1"/>
    <xf numFmtId="39" fontId="52" fillId="0" borderId="0" xfId="0" applyFont="1" applyFill="1"/>
    <xf numFmtId="39" fontId="0" fillId="0" borderId="9" xfId="0" applyBorder="1"/>
    <xf numFmtId="184" fontId="10" fillId="0" borderId="0" xfId="0" applyNumberFormat="1" applyFont="1"/>
    <xf numFmtId="39" fontId="53" fillId="0" borderId="0" xfId="0" applyNumberFormat="1" applyFont="1"/>
    <xf numFmtId="39" fontId="44" fillId="6" borderId="0" xfId="0" applyFont="1" applyFill="1"/>
    <xf numFmtId="39" fontId="44" fillId="8" borderId="0" xfId="0" applyNumberFormat="1" applyFont="1" applyFill="1"/>
    <xf numFmtId="39" fontId="46" fillId="6" borderId="0" xfId="0" applyFont="1" applyFill="1"/>
    <xf numFmtId="39" fontId="46" fillId="0" borderId="0" xfId="0" applyFont="1" applyFill="1"/>
    <xf numFmtId="0" fontId="14" fillId="0" borderId="5" xfId="0" applyNumberFormat="1" applyFont="1" applyFill="1" applyBorder="1"/>
    <xf numFmtId="39" fontId="2" fillId="0" borderId="0" xfId="69" applyNumberFormat="1" applyFont="1" applyAlignment="1"/>
    <xf numFmtId="39" fontId="44" fillId="0" borderId="0" xfId="0" applyFont="1" applyFill="1"/>
    <xf numFmtId="39" fontId="54" fillId="8" borderId="0" xfId="0" applyFont="1" applyFill="1"/>
    <xf numFmtId="179" fontId="0" fillId="0" borderId="0" xfId="1" applyNumberFormat="1" applyFont="1"/>
    <xf numFmtId="179" fontId="0" fillId="0" borderId="0" xfId="1" applyNumberFormat="1" applyFont="1"/>
    <xf numFmtId="179" fontId="0" fillId="0" borderId="0" xfId="1" applyNumberFormat="1" applyFont="1"/>
    <xf numFmtId="179" fontId="0" fillId="0" borderId="0" xfId="1" applyNumberFormat="1" applyFont="1"/>
    <xf numFmtId="39" fontId="46" fillId="13" borderId="0" xfId="0" applyFont="1" applyFill="1"/>
    <xf numFmtId="39" fontId="14" fillId="8" borderId="30" xfId="0" applyFont="1" applyFill="1" applyBorder="1"/>
    <xf numFmtId="0" fontId="14" fillId="8" borderId="28" xfId="0" applyNumberFormat="1" applyFont="1" applyFill="1" applyBorder="1"/>
    <xf numFmtId="39" fontId="14" fillId="8" borderId="28" xfId="0" applyFont="1" applyFill="1" applyBorder="1"/>
    <xf numFmtId="39" fontId="44" fillId="8" borderId="28" xfId="0" applyFont="1" applyFill="1" applyBorder="1"/>
    <xf numFmtId="39" fontId="44" fillId="8" borderId="31" xfId="0" applyFont="1" applyFill="1" applyBorder="1"/>
    <xf numFmtId="39" fontId="14" fillId="0" borderId="32" xfId="0" applyFont="1" applyFill="1" applyBorder="1"/>
    <xf numFmtId="39" fontId="44" fillId="8" borderId="0" xfId="0" applyFont="1" applyFill="1" applyBorder="1"/>
    <xf numFmtId="39" fontId="44" fillId="8" borderId="33" xfId="0" applyFont="1" applyFill="1" applyBorder="1"/>
    <xf numFmtId="39" fontId="14" fillId="8" borderId="34" xfId="0" applyFont="1" applyFill="1" applyBorder="1"/>
    <xf numFmtId="0" fontId="14" fillId="8" borderId="9" xfId="0" applyNumberFormat="1" applyFont="1" applyFill="1" applyBorder="1"/>
    <xf numFmtId="39" fontId="14" fillId="8" borderId="9" xfId="0" applyFont="1" applyFill="1" applyBorder="1"/>
    <xf numFmtId="39" fontId="44" fillId="8" borderId="9" xfId="0" applyFont="1" applyFill="1" applyBorder="1"/>
    <xf numFmtId="39" fontId="44" fillId="8" borderId="35" xfId="0" applyFont="1" applyFill="1" applyBorder="1"/>
    <xf numFmtId="39" fontId="45" fillId="8" borderId="0" xfId="0" applyFont="1" applyFill="1" applyBorder="1" applyAlignment="1"/>
    <xf numFmtId="39" fontId="44" fillId="8" borderId="36" xfId="0" applyFont="1" applyFill="1" applyBorder="1"/>
    <xf numFmtId="39" fontId="45" fillId="8" borderId="37" xfId="0" applyFont="1" applyFill="1" applyBorder="1" applyAlignment="1">
      <alignment horizontal="center"/>
    </xf>
    <xf numFmtId="0" fontId="45" fillId="8" borderId="37" xfId="0" applyNumberFormat="1" applyFont="1" applyFill="1" applyBorder="1"/>
    <xf numFmtId="10" fontId="44" fillId="8" borderId="37" xfId="4" applyNumberFormat="1" applyFont="1" applyFill="1" applyBorder="1"/>
    <xf numFmtId="39" fontId="44" fillId="8" borderId="37" xfId="0" applyFont="1" applyFill="1" applyBorder="1"/>
    <xf numFmtId="39" fontId="46" fillId="8" borderId="37" xfId="0" applyFont="1" applyFill="1" applyBorder="1"/>
    <xf numFmtId="39" fontId="48" fillId="8" borderId="38" xfId="73" applyNumberFormat="1" applyFont="1" applyFill="1" applyBorder="1"/>
    <xf numFmtId="39" fontId="44" fillId="8" borderId="39" xfId="0" applyFont="1" applyFill="1" applyBorder="1"/>
    <xf numFmtId="0" fontId="45" fillId="8" borderId="37" xfId="0" applyNumberFormat="1" applyFont="1" applyFill="1" applyBorder="1" applyAlignment="1">
      <alignment horizontal="center"/>
    </xf>
    <xf numFmtId="39" fontId="48" fillId="13" borderId="38" xfId="73" applyNumberFormat="1" applyFont="1" applyFill="1" applyBorder="1"/>
    <xf numFmtId="39" fontId="44" fillId="14" borderId="37" xfId="0" applyFont="1" applyFill="1" applyBorder="1"/>
    <xf numFmtId="39" fontId="45" fillId="8" borderId="36" xfId="0" applyFont="1" applyFill="1" applyBorder="1" applyAlignment="1">
      <alignment horizontal="center"/>
    </xf>
    <xf numFmtId="39" fontId="46" fillId="0" borderId="39" xfId="0" applyFont="1" applyFill="1" applyBorder="1"/>
    <xf numFmtId="39" fontId="48" fillId="8" borderId="40" xfId="73" applyNumberFormat="1" applyFont="1" applyFill="1" applyBorder="1"/>
    <xf numFmtId="39" fontId="48" fillId="15" borderId="38" xfId="73" applyNumberFormat="1" applyFont="1" applyFill="1" applyBorder="1"/>
    <xf numFmtId="0" fontId="45" fillId="8" borderId="2" xfId="0" applyNumberFormat="1" applyFont="1" applyFill="1" applyBorder="1"/>
    <xf numFmtId="0" fontId="54" fillId="8" borderId="0" xfId="0" applyNumberFormat="1" applyFont="1" applyFill="1"/>
    <xf numFmtId="0" fontId="49" fillId="8" borderId="0" xfId="0" applyNumberFormat="1" applyFont="1" applyFill="1" applyBorder="1"/>
    <xf numFmtId="0" fontId="45" fillId="8" borderId="0" xfId="0" applyNumberFormat="1" applyFont="1" applyFill="1" applyBorder="1"/>
    <xf numFmtId="0" fontId="44" fillId="8" borderId="0" xfId="0" applyNumberFormat="1" applyFont="1" applyFill="1" applyBorder="1"/>
    <xf numFmtId="0" fontId="45" fillId="8" borderId="14" xfId="0" applyNumberFormat="1" applyFont="1" applyFill="1" applyBorder="1"/>
    <xf numFmtId="10" fontId="44" fillId="8" borderId="15" xfId="4" applyNumberFormat="1" applyFont="1" applyFill="1" applyBorder="1"/>
    <xf numFmtId="39" fontId="44" fillId="8" borderId="15" xfId="0" applyFont="1" applyFill="1" applyBorder="1"/>
    <xf numFmtId="39" fontId="44" fillId="6" borderId="15" xfId="0" applyFont="1" applyFill="1" applyBorder="1"/>
    <xf numFmtId="39" fontId="48" fillId="8" borderId="41" xfId="73" applyNumberFormat="1" applyFont="1" applyFill="1" applyBorder="1"/>
    <xf numFmtId="39" fontId="44" fillId="8" borderId="16" xfId="0" applyFont="1" applyFill="1" applyBorder="1"/>
    <xf numFmtId="171" fontId="45" fillId="8" borderId="0" xfId="0" applyNumberFormat="1" applyFont="1" applyFill="1" applyAlignment="1">
      <alignment horizontal="center"/>
    </xf>
    <xf numFmtId="39" fontId="44" fillId="6" borderId="8" xfId="0" applyFont="1" applyFill="1" applyBorder="1"/>
    <xf numFmtId="0" fontId="45" fillId="8" borderId="3" xfId="0" applyNumberFormat="1" applyFont="1" applyFill="1" applyBorder="1"/>
    <xf numFmtId="10" fontId="44" fillId="8" borderId="8" xfId="4" applyNumberFormat="1" applyFont="1" applyFill="1" applyBorder="1"/>
    <xf numFmtId="39" fontId="44" fillId="8" borderId="8" xfId="0" applyFont="1" applyFill="1" applyBorder="1"/>
    <xf numFmtId="39" fontId="46" fillId="8" borderId="15" xfId="0" applyFont="1" applyFill="1" applyBorder="1"/>
    <xf numFmtId="39" fontId="46" fillId="8" borderId="8" xfId="0" applyFont="1" applyFill="1" applyBorder="1"/>
    <xf numFmtId="39" fontId="46" fillId="8" borderId="0" xfId="0" applyFont="1" applyFill="1" applyBorder="1"/>
    <xf numFmtId="39" fontId="48" fillId="8" borderId="42" xfId="73" applyNumberFormat="1" applyFont="1" applyFill="1" applyBorder="1"/>
    <xf numFmtId="39" fontId="45" fillId="8" borderId="0" xfId="0" applyFont="1" applyFill="1" applyBorder="1"/>
    <xf numFmtId="10" fontId="44" fillId="8" borderId="0" xfId="4" applyNumberFormat="1" applyFont="1" applyFill="1" applyBorder="1"/>
    <xf numFmtId="39" fontId="48" fillId="8" borderId="22" xfId="73" applyNumberFormat="1" applyFont="1" applyFill="1" applyBorder="1"/>
    <xf numFmtId="39" fontId="48" fillId="8" borderId="25" xfId="73" applyNumberFormat="1" applyFont="1" applyFill="1" applyBorder="1"/>
    <xf numFmtId="39" fontId="54" fillId="8" borderId="0" xfId="0" applyFont="1" applyFill="1" applyBorder="1"/>
    <xf numFmtId="0" fontId="15" fillId="8" borderId="0" xfId="0" applyNumberFormat="1" applyFont="1" applyFill="1" applyBorder="1"/>
    <xf numFmtId="39" fontId="44" fillId="8" borderId="32" xfId="0" applyFont="1" applyFill="1" applyBorder="1"/>
    <xf numFmtId="39" fontId="54" fillId="8" borderId="32" xfId="0" applyFont="1" applyFill="1" applyBorder="1"/>
    <xf numFmtId="0" fontId="54" fillId="8" borderId="0" xfId="0" applyNumberFormat="1" applyFont="1" applyFill="1" applyBorder="1"/>
    <xf numFmtId="39" fontId="45" fillId="8" borderId="30" xfId="0" applyFont="1" applyFill="1" applyBorder="1"/>
    <xf numFmtId="39" fontId="44" fillId="8" borderId="44" xfId="0" applyFont="1" applyFill="1" applyBorder="1"/>
    <xf numFmtId="0" fontId="15" fillId="8" borderId="32" xfId="0" applyNumberFormat="1" applyFont="1" applyFill="1" applyBorder="1"/>
    <xf numFmtId="0" fontId="14" fillId="8" borderId="34" xfId="0" applyNumberFormat="1" applyFont="1" applyFill="1" applyBorder="1"/>
    <xf numFmtId="39" fontId="45" fillId="8" borderId="36" xfId="0" applyFont="1" applyFill="1" applyBorder="1"/>
    <xf numFmtId="0" fontId="15" fillId="8" borderId="37" xfId="0" applyNumberFormat="1" applyFont="1" applyFill="1" applyBorder="1"/>
    <xf numFmtId="0" fontId="15" fillId="8" borderId="39" xfId="0" applyNumberFormat="1" applyFont="1" applyFill="1" applyBorder="1"/>
    <xf numFmtId="39" fontId="44" fillId="8" borderId="43" xfId="0" applyFont="1" applyFill="1" applyBorder="1"/>
    <xf numFmtId="39" fontId="45" fillId="8" borderId="0" xfId="0" applyFont="1" applyFill="1" applyBorder="1" applyAlignment="1">
      <alignment horizontal="center"/>
    </xf>
    <xf numFmtId="39" fontId="44" fillId="8" borderId="30" xfId="0" applyFont="1" applyFill="1" applyBorder="1"/>
    <xf numFmtId="0" fontId="44" fillId="8" borderId="32" xfId="0" applyNumberFormat="1" applyFont="1" applyFill="1" applyBorder="1"/>
    <xf numFmtId="0" fontId="44" fillId="8" borderId="34" xfId="0" applyNumberFormat="1" applyFont="1" applyFill="1" applyBorder="1"/>
    <xf numFmtId="39" fontId="44" fillId="17" borderId="0" xfId="0" applyFont="1" applyFill="1" applyBorder="1"/>
    <xf numFmtId="39" fontId="45" fillId="8" borderId="37" xfId="0" applyFont="1" applyFill="1" applyBorder="1"/>
    <xf numFmtId="39" fontId="44" fillId="8" borderId="34" xfId="0" applyFont="1" applyFill="1" applyBorder="1"/>
    <xf numFmtId="39" fontId="54" fillId="8" borderId="33" xfId="0" applyFont="1" applyFill="1" applyBorder="1"/>
    <xf numFmtId="0" fontId="15" fillId="8" borderId="34" xfId="0" applyNumberFormat="1" applyFont="1" applyFill="1" applyBorder="1"/>
    <xf numFmtId="0" fontId="54" fillId="8" borderId="32" xfId="0" applyNumberFormat="1" applyFont="1" applyFill="1" applyBorder="1"/>
    <xf numFmtId="0" fontId="44" fillId="8" borderId="30" xfId="0" applyNumberFormat="1" applyFont="1" applyFill="1" applyBorder="1"/>
    <xf numFmtId="39" fontId="45" fillId="8" borderId="33" xfId="0" applyFont="1" applyFill="1" applyBorder="1"/>
    <xf numFmtId="39" fontId="45" fillId="8" borderId="35" xfId="0" applyFont="1" applyFill="1" applyBorder="1"/>
    <xf numFmtId="39" fontId="48" fillId="8" borderId="0" xfId="73" applyNumberFormat="1" applyFont="1" applyFill="1" applyBorder="1"/>
    <xf numFmtId="39" fontId="44" fillId="18" borderId="33" xfId="0" applyFont="1" applyFill="1" applyBorder="1"/>
    <xf numFmtId="39" fontId="44" fillId="18" borderId="0" xfId="0" applyFont="1" applyFill="1" applyBorder="1"/>
    <xf numFmtId="40" fontId="14" fillId="18" borderId="8" xfId="1" applyFont="1" applyFill="1" applyBorder="1"/>
    <xf numFmtId="39" fontId="44" fillId="16" borderId="32" xfId="0" applyFont="1" applyFill="1" applyBorder="1"/>
    <xf numFmtId="39" fontId="44" fillId="16" borderId="33" xfId="0" applyFont="1" applyFill="1" applyBorder="1"/>
    <xf numFmtId="40" fontId="14" fillId="16" borderId="2" xfId="1" applyFont="1" applyFill="1" applyBorder="1"/>
    <xf numFmtId="39" fontId="44" fillId="17" borderId="33" xfId="0" applyFont="1" applyFill="1" applyBorder="1"/>
    <xf numFmtId="39" fontId="44" fillId="19" borderId="33" xfId="0" applyFont="1" applyFill="1" applyBorder="1"/>
    <xf numFmtId="39" fontId="44" fillId="19" borderId="34" xfId="0" applyFont="1" applyFill="1" applyBorder="1"/>
    <xf numFmtId="39" fontId="44" fillId="19" borderId="0" xfId="0" applyFont="1" applyFill="1" applyBorder="1"/>
    <xf numFmtId="40" fontId="14" fillId="19" borderId="0" xfId="1" applyFont="1" applyFill="1" applyBorder="1"/>
    <xf numFmtId="0" fontId="54" fillId="8" borderId="34" xfId="0" applyNumberFormat="1" applyFont="1" applyFill="1" applyBorder="1"/>
    <xf numFmtId="39" fontId="54" fillId="8" borderId="9" xfId="0" applyFont="1" applyFill="1" applyBorder="1"/>
    <xf numFmtId="39" fontId="54" fillId="8" borderId="34" xfId="0" applyFont="1" applyFill="1" applyBorder="1"/>
    <xf numFmtId="39" fontId="54" fillId="8" borderId="35" xfId="0" applyFont="1" applyFill="1" applyBorder="1"/>
    <xf numFmtId="0" fontId="45" fillId="8" borderId="45" xfId="0" applyNumberFormat="1" applyFont="1" applyFill="1" applyBorder="1"/>
    <xf numFmtId="0" fontId="44" fillId="8" borderId="44" xfId="0" applyNumberFormat="1" applyFont="1" applyFill="1" applyBorder="1"/>
    <xf numFmtId="39" fontId="44" fillId="8" borderId="46" xfId="0" applyFont="1" applyFill="1" applyBorder="1"/>
    <xf numFmtId="39" fontId="44" fillId="18" borderId="32" xfId="0" applyFont="1" applyFill="1" applyBorder="1"/>
    <xf numFmtId="40" fontId="14" fillId="17" borderId="0" xfId="1" applyFont="1" applyFill="1" applyBorder="1"/>
    <xf numFmtId="39" fontId="44" fillId="17" borderId="32" xfId="0" applyFont="1" applyFill="1" applyBorder="1"/>
    <xf numFmtId="39" fontId="44" fillId="17" borderId="35" xfId="0" applyFont="1" applyFill="1" applyBorder="1"/>
    <xf numFmtId="184" fontId="44" fillId="8" borderId="0" xfId="0" applyNumberFormat="1" applyFont="1" applyFill="1" applyBorder="1"/>
    <xf numFmtId="39" fontId="44" fillId="16" borderId="0" xfId="0" applyFont="1" applyFill="1" applyBorder="1"/>
    <xf numFmtId="39" fontId="44" fillId="11" borderId="0" xfId="0" applyFont="1" applyFill="1" applyBorder="1"/>
    <xf numFmtId="39" fontId="44" fillId="11" borderId="33" xfId="0" applyFont="1" applyFill="1" applyBorder="1"/>
    <xf numFmtId="40" fontId="14" fillId="17" borderId="8" xfId="1" applyFont="1" applyFill="1" applyBorder="1"/>
    <xf numFmtId="39" fontId="44" fillId="19" borderId="0" xfId="0" applyFont="1" applyFill="1"/>
    <xf numFmtId="39" fontId="44" fillId="11" borderId="35" xfId="0" applyFont="1" applyFill="1" applyBorder="1"/>
    <xf numFmtId="39" fontId="45" fillId="8" borderId="0" xfId="0" applyFont="1" applyFill="1" applyAlignment="1">
      <alignment horizontal="center" wrapText="1"/>
    </xf>
    <xf numFmtId="39" fontId="14" fillId="6" borderId="0" xfId="0" applyFont="1" applyFill="1" applyAlignment="1">
      <alignment horizontal="left"/>
    </xf>
    <xf numFmtId="39" fontId="14" fillId="6" borderId="0" xfId="0" applyFont="1" applyFill="1" applyAlignment="1">
      <alignment horizontal="center"/>
    </xf>
    <xf numFmtId="39" fontId="45" fillId="8" borderId="0" xfId="0" applyFont="1" applyFill="1" applyAlignment="1">
      <alignment horizontal="center" wrapText="1"/>
    </xf>
    <xf numFmtId="37" fontId="44" fillId="20" borderId="0" xfId="0" applyNumberFormat="1" applyFont="1" applyFill="1"/>
    <xf numFmtId="37" fontId="44" fillId="0" borderId="0" xfId="0" applyNumberFormat="1" applyFont="1" applyFill="1"/>
    <xf numFmtId="39" fontId="45" fillId="8" borderId="0" xfId="0" applyFont="1" applyFill="1" applyAlignment="1">
      <alignment horizontal="center" wrapText="1"/>
    </xf>
    <xf numFmtId="39" fontId="45" fillId="8" borderId="0" xfId="0" applyFont="1" applyFill="1" applyAlignment="1">
      <alignment horizontal="center" wrapText="1"/>
    </xf>
    <xf numFmtId="38" fontId="44" fillId="6" borderId="0" xfId="1" applyNumberFormat="1" applyFont="1" applyFill="1"/>
    <xf numFmtId="39" fontId="45" fillId="8" borderId="0" xfId="0" applyFont="1" applyFill="1" applyAlignment="1">
      <alignment horizontal="center" wrapText="1"/>
    </xf>
    <xf numFmtId="39" fontId="45" fillId="8" borderId="0" xfId="0" applyFont="1" applyFill="1" applyAlignment="1">
      <alignment horizontal="center" wrapText="1"/>
    </xf>
    <xf numFmtId="44" fontId="26" fillId="21" borderId="0" xfId="0" applyNumberFormat="1" applyFont="1" applyFill="1" applyBorder="1"/>
    <xf numFmtId="38" fontId="44" fillId="0" borderId="0" xfId="1" applyNumberFormat="1" applyFont="1" applyFill="1"/>
    <xf numFmtId="39" fontId="44" fillId="13" borderId="0" xfId="0" applyFont="1" applyFill="1" applyAlignment="1">
      <alignment horizontal="right"/>
    </xf>
    <xf numFmtId="39" fontId="45" fillId="8" borderId="0" xfId="0" applyFont="1" applyFill="1" applyAlignment="1">
      <alignment horizontal="center" wrapText="1"/>
    </xf>
    <xf numFmtId="44" fontId="26" fillId="10" borderId="0" xfId="0" applyNumberFormat="1" applyFont="1" applyFill="1" applyBorder="1"/>
    <xf numFmtId="44" fontId="14" fillId="10" borderId="0" xfId="0" applyNumberFormat="1" applyFont="1" applyFill="1" applyBorder="1"/>
    <xf numFmtId="171" fontId="44" fillId="0" borderId="0" xfId="0" applyNumberFormat="1" applyFont="1" applyFill="1"/>
    <xf numFmtId="39" fontId="44" fillId="0" borderId="0" xfId="0" applyFont="1" applyFill="1" applyAlignment="1">
      <alignment horizontal="right"/>
    </xf>
    <xf numFmtId="39" fontId="10" fillId="0" borderId="0" xfId="0" applyFont="1" applyAlignment="1">
      <alignment horizontal="center"/>
    </xf>
    <xf numFmtId="39" fontId="31" fillId="0" borderId="0" xfId="0" applyFont="1" applyAlignment="1">
      <alignment horizontal="center"/>
    </xf>
    <xf numFmtId="39" fontId="0" fillId="0" borderId="0" xfId="0" applyAlignment="1">
      <alignment horizontal="center"/>
    </xf>
    <xf numFmtId="39" fontId="32" fillId="0" borderId="0" xfId="0" applyFont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8" xfId="0" applyFont="1" applyFill="1" applyBorder="1" applyAlignment="1">
      <alignment horizontal="center"/>
    </xf>
    <xf numFmtId="39" fontId="15" fillId="0" borderId="10" xfId="0" applyFont="1" applyFill="1" applyBorder="1" applyAlignment="1">
      <alignment horizontal="center"/>
    </xf>
    <xf numFmtId="39" fontId="15" fillId="0" borderId="11" xfId="0" applyFont="1" applyFill="1" applyBorder="1" applyAlignment="1">
      <alignment horizontal="center"/>
    </xf>
    <xf numFmtId="39" fontId="15" fillId="0" borderId="17" xfId="0" applyFont="1" applyFill="1" applyBorder="1" applyAlignment="1">
      <alignment horizontal="center"/>
    </xf>
    <xf numFmtId="39" fontId="54" fillId="8" borderId="0" xfId="0" applyFont="1" applyFill="1" applyAlignment="1">
      <alignment wrapText="1"/>
    </xf>
    <xf numFmtId="39" fontId="0" fillId="0" borderId="0" xfId="0" applyAlignment="1">
      <alignment wrapText="1"/>
    </xf>
    <xf numFmtId="39" fontId="54" fillId="8" borderId="0" xfId="0" applyFont="1" applyFill="1" applyBorder="1" applyAlignment="1">
      <alignment wrapText="1"/>
    </xf>
    <xf numFmtId="39" fontId="0" fillId="0" borderId="0" xfId="0" applyBorder="1" applyAlignment="1">
      <alignment wrapText="1"/>
    </xf>
    <xf numFmtId="39" fontId="45" fillId="8" borderId="9" xfId="0" applyFont="1" applyFill="1" applyBorder="1" applyAlignment="1">
      <alignment horizontal="center" wrapText="1"/>
    </xf>
    <xf numFmtId="39" fontId="0" fillId="0" borderId="9" xfId="0" applyBorder="1" applyAlignment="1">
      <alignment wrapText="1"/>
    </xf>
    <xf numFmtId="39" fontId="45" fillId="8" borderId="0" xfId="0" applyFont="1" applyFill="1" applyAlignment="1">
      <alignment horizontal="center" wrapText="1"/>
    </xf>
    <xf numFmtId="39" fontId="44" fillId="8" borderId="30" xfId="0" applyFont="1" applyFill="1" applyBorder="1" applyAlignment="1">
      <alignment horizontal="center" wrapText="1"/>
    </xf>
    <xf numFmtId="39" fontId="44" fillId="8" borderId="31" xfId="0" applyFont="1" applyFill="1" applyBorder="1" applyAlignment="1">
      <alignment horizontal="center" wrapText="1"/>
    </xf>
    <xf numFmtId="39" fontId="44" fillId="8" borderId="0" xfId="0" applyFont="1" applyFill="1" applyBorder="1" applyAlignment="1">
      <alignment horizontal="center" wrapText="1"/>
    </xf>
    <xf numFmtId="164" fontId="15" fillId="6" borderId="0" xfId="0" applyNumberFormat="1" applyFont="1" applyFill="1" applyAlignment="1">
      <alignment horizontal="center"/>
    </xf>
    <xf numFmtId="39" fontId="15" fillId="0" borderId="18" xfId="6" applyNumberFormat="1" applyFont="1" applyBorder="1" applyAlignment="1">
      <alignment horizontal="left"/>
    </xf>
    <xf numFmtId="39" fontId="15" fillId="0" borderId="19" xfId="6" applyNumberFormat="1" applyFont="1" applyBorder="1" applyAlignment="1">
      <alignment horizontal="left"/>
    </xf>
    <xf numFmtId="39" fontId="15" fillId="0" borderId="20" xfId="6" applyNumberFormat="1" applyFont="1" applyBorder="1" applyAlignment="1">
      <alignment horizontal="left"/>
    </xf>
    <xf numFmtId="39" fontId="14" fillId="0" borderId="2" xfId="0" applyFont="1" applyFill="1" applyBorder="1" applyAlignment="1">
      <alignment horizontal="left" vertical="top" wrapText="1"/>
    </xf>
    <xf numFmtId="39" fontId="14" fillId="0" borderId="0" xfId="0" applyFont="1" applyFill="1" applyAlignment="1">
      <alignment horizontal="left" vertical="top" wrapText="1"/>
    </xf>
  </cellXfs>
  <cellStyles count="137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4"/>
    <cellStyle name="Comma 4 2 2 2" xfId="126"/>
    <cellStyle name="Comma 4 2 3" xfId="105"/>
    <cellStyle name="Comma 4 3" xfId="75"/>
    <cellStyle name="Comma 4 3 2" xfId="117"/>
    <cellStyle name="Comma 4 4" xfId="96"/>
    <cellStyle name="Comma 5" xfId="10"/>
    <cellStyle name="Comma 6" xfId="70"/>
    <cellStyle name="Comma 6 2" xfId="74"/>
    <cellStyle name="Comma 6 2 2" xfId="116"/>
    <cellStyle name="Comma 6 3" xfId="95"/>
    <cellStyle name="Comma 6 3 2" xfId="136"/>
    <cellStyle name="Comma 6 4" xfId="115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6"/>
    <cellStyle name="Currency 4 2 2 2 2" xfId="128"/>
    <cellStyle name="Currency 4 2 2 3" xfId="107"/>
    <cellStyle name="Currency 4 2 3" xfId="77"/>
    <cellStyle name="Currency 4 2 3 2" xfId="119"/>
    <cellStyle name="Currency 4 2 4" xfId="98"/>
    <cellStyle name="Currency 4 3" xfId="45"/>
    <cellStyle name="Currency 4 3 2" xfId="85"/>
    <cellStyle name="Currency 4 3 2 2" xfId="127"/>
    <cellStyle name="Currency 4 3 3" xfId="106"/>
    <cellStyle name="Currency 4 4" xfId="68"/>
    <cellStyle name="Currency 4 5" xfId="76"/>
    <cellStyle name="Currency 4 5 2" xfId="118"/>
    <cellStyle name="Currency 4 6" xfId="97"/>
    <cellStyle name="Currency 5" xfId="15"/>
    <cellStyle name="Currency 6" xfId="16"/>
    <cellStyle name="Currency 6 2" xfId="17"/>
    <cellStyle name="Currency 7" xfId="18"/>
    <cellStyle name="Currency 7 2" xfId="47"/>
    <cellStyle name="Currency 7 2 2" xfId="87"/>
    <cellStyle name="Currency 7 2 2 2" xfId="129"/>
    <cellStyle name="Currency 7 2 3" xfId="108"/>
    <cellStyle name="Currency 7 3" xfId="78"/>
    <cellStyle name="Currency 7 3 2" xfId="120"/>
    <cellStyle name="Currency 7 4" xfId="99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3"/>
    <cellStyle name="Normal 12" xfId="69"/>
    <cellStyle name="Normal 12 2" xfId="94"/>
    <cellStyle name="Normal 12 2 2" xfId="135"/>
    <cellStyle name="Normal 12 3" xfId="114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6" xfId="25"/>
    <cellStyle name="Normal 6 2" xfId="26"/>
    <cellStyle name="Normal 7" xfId="27"/>
    <cellStyle name="Normal 7 2" xfId="48"/>
    <cellStyle name="Normal 7 2 2" xfId="88"/>
    <cellStyle name="Normal 7 2 2 2" xfId="130"/>
    <cellStyle name="Normal 7 2 3" xfId="109"/>
    <cellStyle name="Normal 7 3" xfId="79"/>
    <cellStyle name="Normal 7 3 2" xfId="121"/>
    <cellStyle name="Normal 7 4" xfId="100"/>
    <cellStyle name="Normal 8" xfId="28"/>
    <cellStyle name="Normal 9" xfId="40"/>
    <cellStyle name="Normal 9 2" xfId="53"/>
    <cellStyle name="Percent" xfId="4" builtinId="5"/>
    <cellStyle name="Percent 10" xfId="72"/>
    <cellStyle name="Percent 2" xfId="29"/>
    <cellStyle name="Percent 2 2" xfId="61"/>
    <cellStyle name="Percent 2 3" xfId="60"/>
    <cellStyle name="Percent 3" xfId="30"/>
    <cellStyle name="Percent 3 2" xfId="67"/>
    <cellStyle name="Percent 3 3" xfId="62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1"/>
    <cellStyle name="Percent 5 2 2 2 2 2" xfId="133"/>
    <cellStyle name="Percent 5 2 2 2 3" xfId="112"/>
    <cellStyle name="Percent 5 2 2 3" xfId="82"/>
    <cellStyle name="Percent 5 2 2 3 2" xfId="124"/>
    <cellStyle name="Percent 5 2 2 4" xfId="103"/>
    <cellStyle name="Percent 5 2 3" xfId="50"/>
    <cellStyle name="Percent 5 2 3 2" xfId="90"/>
    <cellStyle name="Percent 5 2 3 2 2" xfId="132"/>
    <cellStyle name="Percent 5 2 3 3" xfId="111"/>
    <cellStyle name="Percent 5 2 4" xfId="81"/>
    <cellStyle name="Percent 5 2 4 2" xfId="123"/>
    <cellStyle name="Percent 5 2 5" xfId="102"/>
    <cellStyle name="Percent 5 3" xfId="49"/>
    <cellStyle name="Percent 5 3 2" xfId="89"/>
    <cellStyle name="Percent 5 3 2 2" xfId="131"/>
    <cellStyle name="Percent 5 3 3" xfId="110"/>
    <cellStyle name="Percent 5 4" xfId="80"/>
    <cellStyle name="Percent 5 4 2" xfId="122"/>
    <cellStyle name="Percent 5 5" xfId="101"/>
    <cellStyle name="Percent 6" xfId="35"/>
    <cellStyle name="Percent 7" xfId="36"/>
    <cellStyle name="Percent 7 2" xfId="37"/>
    <cellStyle name="Percent 8" xfId="38"/>
    <cellStyle name="Percent 8 2" xfId="52"/>
    <cellStyle name="Percent 8 2 2" xfId="92"/>
    <cellStyle name="Percent 8 2 2 2" xfId="134"/>
    <cellStyle name="Percent 8 2 3" xfId="113"/>
    <cellStyle name="Percent 8 3" xfId="83"/>
    <cellStyle name="Percent 8 3 2" xfId="125"/>
    <cellStyle name="Percent 8 4" xfId="104"/>
    <cellStyle name="Percent 9" xfId="39"/>
    <cellStyle name="Total" xfId="73" builtinId="25"/>
  </cellStyles>
  <dxfs count="776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33"/>
      <color rgb="FF00CC66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96582122003933E-2"/>
          <c:y val="4.7804438524449114E-2"/>
          <c:w val="0.89767419371909363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2012-13'!$C$8:$N$8</c:f>
              <c:numCache>
                <c:formatCode>"$"#,##0.0_);\("$"#,##0.0\)</c:formatCode>
                <c:ptCount val="12"/>
                <c:pt idx="0">
                  <c:v>0.90240319623620857</c:v>
                </c:pt>
                <c:pt idx="1">
                  <c:v>-0.24153536134178891</c:v>
                </c:pt>
                <c:pt idx="2">
                  <c:v>1.612370665690211</c:v>
                </c:pt>
                <c:pt idx="3">
                  <c:v>0.64834278387021227</c:v>
                </c:pt>
                <c:pt idx="4">
                  <c:v>0.33671900480321282</c:v>
                </c:pt>
                <c:pt idx="5">
                  <c:v>0.63119416496921332</c:v>
                </c:pt>
                <c:pt idx="6">
                  <c:v>1.2090547576992148</c:v>
                </c:pt>
                <c:pt idx="7">
                  <c:v>1.3830479967132137</c:v>
                </c:pt>
                <c:pt idx="8">
                  <c:v>1.8775711130472124</c:v>
                </c:pt>
                <c:pt idx="9">
                  <c:v>2.5238373414722122</c:v>
                </c:pt>
                <c:pt idx="10">
                  <c:v>3.3385260271402131</c:v>
                </c:pt>
                <c:pt idx="11">
                  <c:v>-6.0831075290700021</c:v>
                </c:pt>
              </c:numCache>
            </c:numRef>
          </c:val>
        </c:ser>
        <c:ser>
          <c:idx val="1"/>
          <c:order val="1"/>
          <c:tx>
            <c:strRef>
              <c:f>'PGA Graphs 2012-13'!$A$9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2012-13'!$C$9:$N$9</c:f>
              <c:numCache>
                <c:formatCode>"$"#,##0.0_);\("$"#,##0.0\)</c:formatCode>
                <c:ptCount val="12"/>
                <c:pt idx="0">
                  <c:v>-3.8730244701439993</c:v>
                </c:pt>
                <c:pt idx="1">
                  <c:v>-3.0674777859969997</c:v>
                </c:pt>
                <c:pt idx="2">
                  <c:v>-1.6934499394870002</c:v>
                </c:pt>
                <c:pt idx="3">
                  <c:v>-0.95669013858100027</c:v>
                </c:pt>
                <c:pt idx="4">
                  <c:v>-0.56131225301100107</c:v>
                </c:pt>
                <c:pt idx="5">
                  <c:v>-0.69541010451100072</c:v>
                </c:pt>
                <c:pt idx="6">
                  <c:v>-1.5643559408390004</c:v>
                </c:pt>
                <c:pt idx="7">
                  <c:v>-2.5778206653800004</c:v>
                </c:pt>
                <c:pt idx="8">
                  <c:v>-3.8494386956210014</c:v>
                </c:pt>
                <c:pt idx="9">
                  <c:v>-5.0597053680260018</c:v>
                </c:pt>
                <c:pt idx="10">
                  <c:v>-6.0831075290700021</c:v>
                </c:pt>
                <c:pt idx="11">
                  <c:v>3.1801240000000015E-2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91039608"/>
        <c:axId val="191039216"/>
      </c:barChart>
      <c:lineChart>
        <c:grouping val="standard"/>
        <c:varyColors val="0"/>
        <c:ser>
          <c:idx val="2"/>
          <c:order val="2"/>
          <c:tx>
            <c:strRef>
              <c:f>'PGA Graphs 2012-13'!$A$10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6573430354023E-2"/>
                  <c:y val="8.2711931981965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4.315405146885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0.1330583253622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7.5519590070490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5.753873529180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6.832724815901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9.70966158049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0.10788512867212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564597079407894E-2"/>
                  <c:y val="0.13665449631803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2601612923489499E-2"/>
                  <c:y val="0.18340471874262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9791769696789723E-2"/>
                  <c:y val="0.115077470583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19541039524E-2"/>
                  <c:y val="-5.034639338032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2012-13'!$C$10:$N$10</c:f>
              <c:numCache>
                <c:formatCode>"$"#,##0.0_);\("$"#,##0.0\)</c:formatCode>
                <c:ptCount val="12"/>
                <c:pt idx="0">
                  <c:v>-2.9706212739077906</c:v>
                </c:pt>
                <c:pt idx="1">
                  <c:v>-3.3090131473387885</c:v>
                </c:pt>
                <c:pt idx="2">
                  <c:v>-8.1079273796789142E-2</c:v>
                </c:pt>
                <c:pt idx="3">
                  <c:v>-0.308347354710788</c:v>
                </c:pt>
                <c:pt idx="4">
                  <c:v>-0.22459324820778825</c:v>
                </c:pt>
                <c:pt idx="5">
                  <c:v>-6.4215939541787392E-2</c:v>
                </c:pt>
                <c:pt idx="6">
                  <c:v>-0.35530118313978565</c:v>
                </c:pt>
                <c:pt idx="7">
                  <c:v>-1.1947726686667868</c:v>
                </c:pt>
                <c:pt idx="8">
                  <c:v>-1.971867582573789</c:v>
                </c:pt>
                <c:pt idx="9">
                  <c:v>-2.5358680265537896</c:v>
                </c:pt>
                <c:pt idx="10">
                  <c:v>-2.744581501929789</c:v>
                </c:pt>
                <c:pt idx="11">
                  <c:v>-6.051306289070002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39608"/>
        <c:axId val="191039216"/>
      </c:lineChart>
      <c:catAx>
        <c:axId val="191039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91039216"/>
        <c:crosses val="autoZero"/>
        <c:auto val="1"/>
        <c:lblAlgn val="ctr"/>
        <c:lblOffset val="10"/>
        <c:noMultiLvlLbl val="0"/>
      </c:catAx>
      <c:valAx>
        <c:axId val="191039216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191039608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573721217717067"/>
          <c:y val="6.8211717627523899E-2"/>
          <c:w val="0.18659635681678413"/>
          <c:h val="0.14746849386131888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 (With Holdback)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726533128107232E-2"/>
          <c:y val="4.4208267568710935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2012-13'!$B$14:$M$14</c:f>
              <c:numCache>
                <c:formatCode>"$"#,##0.0_);\("$"#,##0.0\)</c:formatCode>
                <c:ptCount val="12"/>
                <c:pt idx="0">
                  <c:v>2.1383911983473967</c:v>
                </c:pt>
                <c:pt idx="1">
                  <c:v>1.2444255776995812</c:v>
                </c:pt>
                <c:pt idx="2">
                  <c:v>0.87195540999758092</c:v>
                </c:pt>
                <c:pt idx="3">
                  <c:v>1.6660490220255828</c:v>
                </c:pt>
                <c:pt idx="4">
                  <c:v>1.2966995405455823</c:v>
                </c:pt>
                <c:pt idx="5">
                  <c:v>1.1561449650525837</c:v>
                </c:pt>
                <c:pt idx="6">
                  <c:v>1.2996516898465837</c:v>
                </c:pt>
                <c:pt idx="7">
                  <c:v>1.5610150065365844</c:v>
                </c:pt>
                <c:pt idx="8">
                  <c:v>1.6482739833225839</c:v>
                </c:pt>
                <c:pt idx="9">
                  <c:v>1.8954571715485831</c:v>
                </c:pt>
                <c:pt idx="10">
                  <c:v>2.2528616869035827</c:v>
                </c:pt>
                <c:pt idx="11">
                  <c:v>2.7080381318555831</c:v>
                </c:pt>
              </c:numCache>
            </c:numRef>
          </c:val>
        </c:ser>
        <c:ser>
          <c:idx val="1"/>
          <c:order val="1"/>
          <c:tx>
            <c:strRef>
              <c:f>'PGA Graphs 2012-13'!$A$15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2012-13'!$B$15:$M$15</c:f>
              <c:numCache>
                <c:formatCode>"$"#,##0.0_);\("$"#,##0.0\)</c:formatCode>
                <c:ptCount val="12"/>
                <c:pt idx="0">
                  <c:v>-0.82418407251353221</c:v>
                </c:pt>
                <c:pt idx="1">
                  <c:v>-0.80322416033553246</c:v>
                </c:pt>
                <c:pt idx="2">
                  <c:v>-0.39310178017253256</c:v>
                </c:pt>
                <c:pt idx="3">
                  <c:v>0.17129077183746722</c:v>
                </c:pt>
                <c:pt idx="4">
                  <c:v>0.35307272873146694</c:v>
                </c:pt>
                <c:pt idx="5">
                  <c:v>0.56382016840146643</c:v>
                </c:pt>
                <c:pt idx="6">
                  <c:v>0.53955121001146655</c:v>
                </c:pt>
                <c:pt idx="7">
                  <c:v>0.18205832733946647</c:v>
                </c:pt>
                <c:pt idx="8">
                  <c:v>-0.22184721294953361</c:v>
                </c:pt>
                <c:pt idx="9">
                  <c:v>-0.73848372468853407</c:v>
                </c:pt>
                <c:pt idx="10">
                  <c:v>-1.2085874236835343</c:v>
                </c:pt>
                <c:pt idx="11">
                  <c:v>-1.5854874293295345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91040784"/>
        <c:axId val="191041960"/>
      </c:barChart>
      <c:lineChart>
        <c:grouping val="standard"/>
        <c:varyColors val="0"/>
        <c:ser>
          <c:idx val="2"/>
          <c:order val="2"/>
          <c:tx>
            <c:strRef>
              <c:f>'PGA Graphs 2012-13'!$A$16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4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15427135108E-2"/>
                  <c:y val="-3.2365538601638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573430354023E-2"/>
                  <c:y val="-0.11867364153934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30203654163E-2"/>
                  <c:y val="-0.16542386396393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551220390617801E-2"/>
                  <c:y val="-0.21577025734425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2012-13'!$B$16:$M$16</c:f>
              <c:numCache>
                <c:formatCode>"$"#,##0.0_);\("$"#,##0.0\)</c:formatCode>
                <c:ptCount val="12"/>
                <c:pt idx="0">
                  <c:v>1.3142071258338643</c:v>
                </c:pt>
                <c:pt idx="1">
                  <c:v>0.44120141736404872</c:v>
                </c:pt>
                <c:pt idx="2">
                  <c:v>0.47885362982504837</c:v>
                </c:pt>
                <c:pt idx="3">
                  <c:v>1.83733979386305</c:v>
                </c:pt>
                <c:pt idx="4">
                  <c:v>1.6497722692770493</c:v>
                </c:pt>
                <c:pt idx="5">
                  <c:v>1.7199651334540502</c:v>
                </c:pt>
                <c:pt idx="6">
                  <c:v>1.8392028998580503</c:v>
                </c:pt>
                <c:pt idx="7">
                  <c:v>1.7430733338760509</c:v>
                </c:pt>
                <c:pt idx="8">
                  <c:v>1.4264267703730502</c:v>
                </c:pt>
                <c:pt idx="9">
                  <c:v>1.156973446860049</c:v>
                </c:pt>
                <c:pt idx="10">
                  <c:v>1.0442742632200483</c:v>
                </c:pt>
                <c:pt idx="11">
                  <c:v>1.1225507025260486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40784"/>
        <c:axId val="191041960"/>
      </c:lineChart>
      <c:catAx>
        <c:axId val="19104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91041960"/>
        <c:crosses val="autoZero"/>
        <c:auto val="1"/>
        <c:lblAlgn val="ctr"/>
        <c:lblOffset val="0"/>
        <c:noMultiLvlLbl val="0"/>
      </c:catAx>
      <c:valAx>
        <c:axId val="191041960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191040784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Commodity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2013-14'!$A$8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2013-14'!$B$8:$N$8</c:f>
              <c:numCache>
                <c:formatCode>"$"#,##0.00_);\("$"#,##0.00\)</c:formatCode>
                <c:ptCount val="13"/>
                <c:pt idx="0">
                  <c:v>3.3051999999999997</c:v>
                </c:pt>
                <c:pt idx="1">
                  <c:v>3.6246661221178802</c:v>
                </c:pt>
                <c:pt idx="2">
                  <c:v>3.6234780920677898</c:v>
                </c:pt>
                <c:pt idx="3">
                  <c:v>3.8497000000000003</c:v>
                </c:pt>
                <c:pt idx="4">
                  <c:v>3.8496999999999999</c:v>
                </c:pt>
                <c:pt idx="5">
                  <c:v>3.8496999999999999</c:v>
                </c:pt>
                <c:pt idx="6">
                  <c:v>3.8496999999999999</c:v>
                </c:pt>
                <c:pt idx="7">
                  <c:v>3.8496999999999999</c:v>
                </c:pt>
                <c:pt idx="8">
                  <c:v>3.8496999999999999</c:v>
                </c:pt>
                <c:pt idx="9">
                  <c:v>3.8496999999999999</c:v>
                </c:pt>
                <c:pt idx="10">
                  <c:v>3.8496999999999999</c:v>
                </c:pt>
                <c:pt idx="11">
                  <c:v>3.8496999999999999</c:v>
                </c:pt>
                <c:pt idx="12">
                  <c:v>3.8496999999999999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2013-14'!$A$9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2013-14'!$B$9:$N$9</c:f>
              <c:numCache>
                <c:formatCode>"$"#,##0.00_);\("$"#,##0.00\)</c:formatCode>
                <c:ptCount val="13"/>
                <c:pt idx="0">
                  <c:v>3.5167999999999999</c:v>
                </c:pt>
                <c:pt idx="1">
                  <c:v>3.8812999999999995</c:v>
                </c:pt>
                <c:pt idx="2">
                  <c:v>3.6348000000000003</c:v>
                </c:pt>
                <c:pt idx="3">
                  <c:v>3.6143999999999998</c:v>
                </c:pt>
                <c:pt idx="4">
                  <c:v>3.6770000000000005</c:v>
                </c:pt>
                <c:pt idx="5">
                  <c:v>3.9145000000000003</c:v>
                </c:pt>
                <c:pt idx="6">
                  <c:v>3.3395999999999999</c:v>
                </c:pt>
                <c:pt idx="7">
                  <c:v>3.3895</c:v>
                </c:pt>
                <c:pt idx="8">
                  <c:v>3.3272000000000004</c:v>
                </c:pt>
                <c:pt idx="9">
                  <c:v>3.3701999999999996</c:v>
                </c:pt>
                <c:pt idx="10">
                  <c:v>3.3369</c:v>
                </c:pt>
                <c:pt idx="11">
                  <c:v>3.3742000000000001</c:v>
                </c:pt>
                <c:pt idx="12">
                  <c:v>3.5167999999999999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2013-14'!$B$10:$N$10</c:f>
              <c:numCache>
                <c:formatCode>"$"#,##0.00_);\("$"#,##0.00\)</c:formatCode>
                <c:ptCount val="13"/>
                <c:pt idx="0">
                  <c:v>2.7800856064110402</c:v>
                </c:pt>
                <c:pt idx="1">
                  <c:v>3.4540440792083</c:v>
                </c:pt>
                <c:pt idx="2">
                  <c:v>3.1876161555634601</c:v>
                </c:pt>
                <c:pt idx="3">
                  <c:v>4.1065937418059537</c:v>
                </c:pt>
                <c:pt idx="4">
                  <c:v>0</c:v>
                </c:pt>
                <c:pt idx="5">
                  <c:v>4.6062740653608811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023392"/>
        <c:axId val="298024176"/>
      </c:lineChart>
      <c:catAx>
        <c:axId val="29802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98024176"/>
        <c:crosses val="autoZero"/>
        <c:auto val="1"/>
        <c:lblAlgn val="ctr"/>
        <c:lblOffset val="100"/>
        <c:noMultiLvlLbl val="0"/>
      </c:catAx>
      <c:valAx>
        <c:axId val="298024176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298023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2013-14'!$A$11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2013-14'!$B$11:$N$11</c:f>
              <c:numCache>
                <c:formatCode>"$"#,##0.00_);\("$"#,##0.00\)</c:formatCode>
                <c:ptCount val="13"/>
                <c:pt idx="0">
                  <c:v>0.86508677222961405</c:v>
                </c:pt>
                <c:pt idx="1">
                  <c:v>0.98017103319810395</c:v>
                </c:pt>
                <c:pt idx="2">
                  <c:v>0.99766447491792298</c:v>
                </c:pt>
                <c:pt idx="3">
                  <c:v>1.0437102675509169</c:v>
                </c:pt>
                <c:pt idx="4">
                  <c:v>1.023500428077627</c:v>
                </c:pt>
                <c:pt idx="5">
                  <c:v>0.99615592545618648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2013-14'!$A$12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2013-14'!$B$12:$N$12</c:f>
              <c:numCache>
                <c:formatCode>"$"#,##0.00_);\("$"#,##0.00\)</c:formatCode>
                <c:ptCount val="13"/>
                <c:pt idx="0">
                  <c:v>1.4529330378220591</c:v>
                </c:pt>
                <c:pt idx="1">
                  <c:v>0.79431349782690841</c:v>
                </c:pt>
                <c:pt idx="2">
                  <c:v>0.60296290558547094</c:v>
                </c:pt>
                <c:pt idx="3">
                  <c:v>0.60895264158951812</c:v>
                </c:pt>
                <c:pt idx="4">
                  <c:v>0.60656225946654285</c:v>
                </c:pt>
                <c:pt idx="5">
                  <c:v>0.87532504655494603</c:v>
                </c:pt>
                <c:pt idx="6">
                  <c:v>1.1232232940560019</c:v>
                </c:pt>
                <c:pt idx="7">
                  <c:v>2.0020366178222502</c:v>
                </c:pt>
                <c:pt idx="8">
                  <c:v>2.9050208439006555</c:v>
                </c:pt>
                <c:pt idx="9">
                  <c:v>3.9176133126746118</c:v>
                </c:pt>
                <c:pt idx="10">
                  <c:v>3.8752231593583324</c:v>
                </c:pt>
                <c:pt idx="11">
                  <c:v>3.4387986026867114</c:v>
                </c:pt>
                <c:pt idx="12">
                  <c:v>1.4529330378220591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2013-14'!$B$13:$N$13</c:f>
              <c:numCache>
                <c:formatCode>"$"#,##0.00_);\("$"#,##0.00\)</c:formatCode>
                <c:ptCount val="13"/>
                <c:pt idx="0">
                  <c:v>1.02504522593617</c:v>
                </c:pt>
                <c:pt idx="1">
                  <c:v>0.65827334268652904</c:v>
                </c:pt>
                <c:pt idx="2">
                  <c:v>0.51365176254981604</c:v>
                </c:pt>
                <c:pt idx="3">
                  <c:v>0.50997136882436167</c:v>
                </c:pt>
                <c:pt idx="4">
                  <c:v>0.69427982301528135</c:v>
                </c:pt>
                <c:pt idx="5">
                  <c:v>0.92753318704594745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737824"/>
        <c:axId val="302738216"/>
      </c:lineChart>
      <c:catAx>
        <c:axId val="30273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302738216"/>
        <c:crosses val="autoZero"/>
        <c:auto val="1"/>
        <c:lblAlgn val="ctr"/>
        <c:lblOffset val="100"/>
        <c:noMultiLvlLbl val="0"/>
      </c:catAx>
      <c:valAx>
        <c:axId val="302738216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302737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2013-14'!$A$20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2013-14'!$B$20:$N$20</c:f>
              <c:numCache>
                <c:formatCode>"$"#,##0.00_);\("$"#,##0.00\)</c:formatCode>
                <c:ptCount val="13"/>
                <c:pt idx="0">
                  <c:v>1.0742522128918399</c:v>
                </c:pt>
                <c:pt idx="1">
                  <c:v>1.0741263842636799</c:v>
                </c:pt>
                <c:pt idx="2">
                  <c:v>1.0744</c:v>
                </c:pt>
                <c:pt idx="3">
                  <c:v>1.0721000000000001</c:v>
                </c:pt>
                <c:pt idx="4">
                  <c:v>1.0720999999999998</c:v>
                </c:pt>
                <c:pt idx="5">
                  <c:v>1.0721000000000001</c:v>
                </c:pt>
                <c:pt idx="6">
                  <c:v>1.0721000000000001</c:v>
                </c:pt>
                <c:pt idx="7">
                  <c:v>1.0721000000000001</c:v>
                </c:pt>
                <c:pt idx="8">
                  <c:v>1.0721000000000001</c:v>
                </c:pt>
                <c:pt idx="9">
                  <c:v>1.0720999999999998</c:v>
                </c:pt>
                <c:pt idx="10">
                  <c:v>1.0721000000000001</c:v>
                </c:pt>
                <c:pt idx="11">
                  <c:v>1.0721000000000001</c:v>
                </c:pt>
                <c:pt idx="12">
                  <c:v>1.0721000000000001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2013-14'!$A$21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2013-14'!$B$21:$N$21</c:f>
              <c:numCache>
                <c:formatCode>"$"#,##0.00_);\("$"#,##0.00\)</c:formatCode>
                <c:ptCount val="13"/>
                <c:pt idx="0">
                  <c:v>1.2942886206113142</c:v>
                </c:pt>
                <c:pt idx="1">
                  <c:v>0.74518730633512642</c:v>
                </c:pt>
                <c:pt idx="2">
                  <c:v>0.58083452630008092</c:v>
                </c:pt>
                <c:pt idx="3">
                  <c:v>0.60843027300764696</c:v>
                </c:pt>
                <c:pt idx="4">
                  <c:v>0.68505702536755764</c:v>
                </c:pt>
                <c:pt idx="5">
                  <c:v>0.81792088296424315</c:v>
                </c:pt>
                <c:pt idx="6">
                  <c:v>1.0438035301560928</c:v>
                </c:pt>
                <c:pt idx="7">
                  <c:v>1.8765356717896455</c:v>
                </c:pt>
                <c:pt idx="8">
                  <c:v>2.5204558648798452</c:v>
                </c:pt>
                <c:pt idx="9">
                  <c:v>3.0722913458699082</c:v>
                </c:pt>
                <c:pt idx="10">
                  <c:v>3.0936566161461703</c:v>
                </c:pt>
                <c:pt idx="11">
                  <c:v>2.484887676291045</c:v>
                </c:pt>
                <c:pt idx="12">
                  <c:v>1.1747692347018237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2013-14'!$A$22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'PGA Graphs 2013-14'!$B$15:$N$15</c:f>
              <c:numCache>
                <c:formatCode>#,##0.00_);\(#,##0.00\)</c:formatCode>
                <c:ptCount val="13"/>
              </c:numCache>
            </c:numRef>
          </c:cat>
          <c:val>
            <c:numRef>
              <c:f>'PGA Graphs 2013-14'!$B$22:$N$22</c:f>
              <c:numCache>
                <c:formatCode>"$"#,##0.00_);\("$"#,##0.00\)</c:formatCode>
                <c:ptCount val="13"/>
                <c:pt idx="0">
                  <c:v>1.2115295970631399</c:v>
                </c:pt>
                <c:pt idx="1">
                  <c:v>0.708429666562987</c:v>
                </c:pt>
                <c:pt idx="2">
                  <c:v>0.54697005486642902</c:v>
                </c:pt>
                <c:pt idx="3">
                  <c:v>0.53478578366706786</c:v>
                </c:pt>
                <c:pt idx="4">
                  <c:v>0.81366895316019194</c:v>
                </c:pt>
                <c:pt idx="5">
                  <c:v>0.95802534552983354</c:v>
                </c:pt>
                <c:pt idx="6">
                  <c:v>1.2494728445999561</c:v>
                </c:pt>
                <c:pt idx="7">
                  <c:v>2.286384069286175</c:v>
                </c:pt>
                <c:pt idx="8">
                  <c:v>3.5367119745854869</c:v>
                </c:pt>
                <c:pt idx="9">
                  <c:v>3.2746868759572134</c:v>
                </c:pt>
                <c:pt idx="10">
                  <c:v>2.9038057047974069</c:v>
                </c:pt>
                <c:pt idx="11">
                  <c:v>2.3865608408695218</c:v>
                </c:pt>
                <c:pt idx="12">
                  <c:v>1.730809951802768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739392"/>
        <c:axId val="302554576"/>
      </c:lineChart>
      <c:catAx>
        <c:axId val="30273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302554576"/>
        <c:crosses val="autoZero"/>
        <c:auto val="1"/>
        <c:lblAlgn val="ctr"/>
        <c:lblOffset val="100"/>
        <c:noMultiLvlLbl val="0"/>
      </c:catAx>
      <c:valAx>
        <c:axId val="302554576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302739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</a:t>
            </a:r>
            <a:r>
              <a:rPr lang="en-US" baseline="0"/>
              <a:t> PGA Commodity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2013-14'!$A$17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2013-14'!$B$17:$N$17</c:f>
              <c:numCache>
                <c:formatCode>"$"#,##0.00_);\("$"#,##0.00\)</c:formatCode>
                <c:ptCount val="13"/>
                <c:pt idx="0">
                  <c:v>3.7138086914005299</c:v>
                </c:pt>
                <c:pt idx="1">
                  <c:v>3.71000032320786</c:v>
                </c:pt>
                <c:pt idx="2">
                  <c:v>3.7124000000000001</c:v>
                </c:pt>
                <c:pt idx="3">
                  <c:v>3.8272000000000013</c:v>
                </c:pt>
                <c:pt idx="4">
                  <c:v>3.8271999999999999</c:v>
                </c:pt>
                <c:pt idx="5">
                  <c:v>3.8271999999999995</c:v>
                </c:pt>
                <c:pt idx="6">
                  <c:v>3.8271999999999999</c:v>
                </c:pt>
                <c:pt idx="7">
                  <c:v>3.8271999999999999</c:v>
                </c:pt>
                <c:pt idx="8">
                  <c:v>3.8271999999999999</c:v>
                </c:pt>
                <c:pt idx="9">
                  <c:v>3.8271999999999999</c:v>
                </c:pt>
                <c:pt idx="10">
                  <c:v>3.8271999999999999</c:v>
                </c:pt>
                <c:pt idx="11">
                  <c:v>3.8271999999999999</c:v>
                </c:pt>
                <c:pt idx="12">
                  <c:v>3.8271999999999999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2013-14'!$A$18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2013-14'!$B$18:$N$18</c:f>
              <c:numCache>
                <c:formatCode>"$"#,##0.00_);\("$"#,##0.00\)</c:formatCode>
                <c:ptCount val="13"/>
                <c:pt idx="0">
                  <c:v>2.9957000000000003</c:v>
                </c:pt>
                <c:pt idx="1">
                  <c:v>3.9822000000000002</c:v>
                </c:pt>
                <c:pt idx="2">
                  <c:v>3.8203999999999998</c:v>
                </c:pt>
                <c:pt idx="3">
                  <c:v>3.7982</c:v>
                </c:pt>
                <c:pt idx="4">
                  <c:v>3.8423000000000003</c:v>
                </c:pt>
                <c:pt idx="5">
                  <c:v>4.0292000000000003</c:v>
                </c:pt>
                <c:pt idx="6">
                  <c:v>3.4569000000000001</c:v>
                </c:pt>
                <c:pt idx="7">
                  <c:v>3.5224000000000002</c:v>
                </c:pt>
                <c:pt idx="8">
                  <c:v>3.4592000000000001</c:v>
                </c:pt>
                <c:pt idx="9">
                  <c:v>3.4888000000000003</c:v>
                </c:pt>
                <c:pt idx="10">
                  <c:v>3.4600999999999997</c:v>
                </c:pt>
                <c:pt idx="11">
                  <c:v>3.4959000000000002</c:v>
                </c:pt>
                <c:pt idx="12">
                  <c:v>3.6281000000000003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2013-14'!$A$19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2013-14'!$B$19:$N$19</c:f>
              <c:numCache>
                <c:formatCode>"$"#,##0.00_);\("$"#,##0.00\)</c:formatCode>
                <c:ptCount val="13"/>
                <c:pt idx="0">
                  <c:v>2.76346512007138</c:v>
                </c:pt>
                <c:pt idx="1">
                  <c:v>3.4542924833702302</c:v>
                </c:pt>
                <c:pt idx="2">
                  <c:v>3.1868860970503601</c:v>
                </c:pt>
                <c:pt idx="3">
                  <c:v>4.1072618105471781</c:v>
                </c:pt>
                <c:pt idx="4">
                  <c:v>0</c:v>
                </c:pt>
                <c:pt idx="5">
                  <c:v>4.6040065166384396</c:v>
                </c:pt>
                <c:pt idx="6">
                  <c:v>1.879320750604895</c:v>
                </c:pt>
                <c:pt idx="7">
                  <c:v>2.0169332339660211</c:v>
                </c:pt>
                <c:pt idx="8">
                  <c:v>-7.1252815725731172E-3</c:v>
                </c:pt>
                <c:pt idx="9">
                  <c:v>-0.10174484820784881</c:v>
                </c:pt>
                <c:pt idx="10">
                  <c:v>0.28022256216704389</c:v>
                </c:pt>
                <c:pt idx="11">
                  <c:v>8.4046327285577441E-2</c:v>
                </c:pt>
                <c:pt idx="12">
                  <c:v>1.5115777146599974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555360"/>
        <c:axId val="302555752"/>
      </c:lineChart>
      <c:catAx>
        <c:axId val="30255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302555752"/>
        <c:crosses val="autoZero"/>
        <c:auto val="1"/>
        <c:lblAlgn val="ctr"/>
        <c:lblOffset val="100"/>
        <c:noMultiLvlLbl val="0"/>
      </c:catAx>
      <c:valAx>
        <c:axId val="302555752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302555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1944383117605482E-2"/>
          <c:y val="5.1517337914212466E-2"/>
          <c:w val="0.91669255229753865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'Deferral Graphs 2013-14 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2013-14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2013-14 '!$C$8:$N$8</c:f>
              <c:numCache>
                <c:formatCode>"$"#,##0.0_);\("$"#,##0.0\)</c:formatCode>
                <c:ptCount val="12"/>
                <c:pt idx="0">
                  <c:v>3.6467914534399961</c:v>
                </c:pt>
                <c:pt idx="1">
                  <c:v>4.1805524017439897</c:v>
                </c:pt>
                <c:pt idx="2">
                  <c:v>3.5618082323399887</c:v>
                </c:pt>
              </c:numCache>
            </c:numRef>
          </c:val>
        </c:ser>
        <c:ser>
          <c:idx val="1"/>
          <c:order val="1"/>
          <c:tx>
            <c:strRef>
              <c:f>'Deferral Graphs 2013-14 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2013-14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2013-14 '!$C$9:$N$9</c:f>
              <c:numCache>
                <c:formatCode>"$"#,##0.0_);\("$"#,##0.0\)</c:formatCode>
                <c:ptCount val="12"/>
                <c:pt idx="0">
                  <c:v>-5.4499761425010025</c:v>
                </c:pt>
                <c:pt idx="1">
                  <c:v>-4.0360349296660027</c:v>
                </c:pt>
                <c:pt idx="2">
                  <c:v>-2.4297905731820029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302556536"/>
        <c:axId val="302556928"/>
      </c:barChart>
      <c:lineChart>
        <c:grouping val="standard"/>
        <c:varyColors val="0"/>
        <c:ser>
          <c:idx val="2"/>
          <c:order val="2"/>
          <c:tx>
            <c:strRef>
              <c:f>'Deferral Graphs 2013-14 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514014190650573E-2"/>
                  <c:y val="-0.31646304410491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7.1923419114752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-3.596170955737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430233732271606E-2"/>
                  <c:y val="-9.1653618258338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9884819639192814E-2"/>
                  <c:y val="-8.4228011726611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4388525776954004E-2"/>
                  <c:y val="-0.1287816509169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25592632022E-2"/>
                  <c:y val="-0.198858912306510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2013-14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2013-14 '!$C$10:$N$10</c:f>
              <c:numCache>
                <c:formatCode>"$"#,##0.0_);\("$"#,##0.0\)</c:formatCode>
                <c:ptCount val="12"/>
                <c:pt idx="0">
                  <c:v>-1.8031846890610064</c:v>
                </c:pt>
                <c:pt idx="1">
                  <c:v>0.14451747207798693</c:v>
                </c:pt>
                <c:pt idx="2">
                  <c:v>1.1320176591579858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556536"/>
        <c:axId val="302556928"/>
      </c:lineChart>
      <c:catAx>
        <c:axId val="302556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302556928"/>
        <c:crosses val="autoZero"/>
        <c:auto val="1"/>
        <c:lblAlgn val="ctr"/>
        <c:lblOffset val="10"/>
        <c:noMultiLvlLbl val="0"/>
      </c:catAx>
      <c:valAx>
        <c:axId val="302556928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302556536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4868192934807156"/>
          <c:y val="6.8211717627523899E-2"/>
          <c:w val="0.24365181644392189"/>
          <c:h val="0.14746849386131905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3979062375435765E-2"/>
          <c:y val="8.7362319037562711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'Deferral Graphs 2013-14 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2013-14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2013-14 '!$C$14:$N$14</c:f>
              <c:numCache>
                <c:formatCode>"$"#,##0.0_);\("$"#,##0.0\)</c:formatCode>
                <c:ptCount val="12"/>
                <c:pt idx="0">
                  <c:v>1.8014744099999986</c:v>
                </c:pt>
                <c:pt idx="1">
                  <c:v>2.0113082716959956</c:v>
                </c:pt>
                <c:pt idx="2">
                  <c:v>1.6793401132499965</c:v>
                </c:pt>
              </c:numCache>
            </c:numRef>
          </c:val>
        </c:ser>
        <c:ser>
          <c:idx val="1"/>
          <c:order val="1"/>
          <c:tx>
            <c:strRef>
              <c:f>'Deferral Graphs 2013-14 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5.4338431732962001E-3"/>
                  <c:y val="-2.9663558026999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2013-14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2013-14 '!$C$15:$N$15</c:f>
              <c:numCache>
                <c:formatCode>"$"#,##0.0_);\("$"#,##0.0\)</c:formatCode>
                <c:ptCount val="12"/>
                <c:pt idx="0">
                  <c:v>-2.1068052855590014</c:v>
                </c:pt>
                <c:pt idx="1">
                  <c:v>-1.5923268683940015</c:v>
                </c:pt>
                <c:pt idx="2">
                  <c:v>-0.95760129210800138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302739000"/>
        <c:axId val="302737432"/>
      </c:barChart>
      <c:lineChart>
        <c:grouping val="standard"/>
        <c:varyColors val="0"/>
        <c:ser>
          <c:idx val="2"/>
          <c:order val="2"/>
          <c:tx>
            <c:strRef>
              <c:f>'Deferral Graphs 2013-14 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476524943077E-2"/>
                  <c:y val="-7.047021994827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08956514532E-2"/>
                  <c:y val="-8.3849185332421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834253235917832E-2"/>
                  <c:y val="-9.7116328445658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2013-14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2013-14 '!$C$16:$N$16</c:f>
              <c:numCache>
                <c:formatCode>"$"#,##0.0_);\("$"#,##0.0\)</c:formatCode>
                <c:ptCount val="12"/>
                <c:pt idx="0">
                  <c:v>-0.30533087555900273</c:v>
                </c:pt>
                <c:pt idx="1">
                  <c:v>0.41898140330199407</c:v>
                </c:pt>
                <c:pt idx="2">
                  <c:v>0.72173882114199517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739000"/>
        <c:axId val="302737432"/>
      </c:lineChart>
      <c:catAx>
        <c:axId val="302739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302737432"/>
        <c:crosses val="autoZero"/>
        <c:auto val="1"/>
        <c:lblAlgn val="ctr"/>
        <c:lblOffset val="0"/>
        <c:noMultiLvlLbl val="0"/>
      </c:catAx>
      <c:valAx>
        <c:axId val="302737432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302739000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Commodity</c:v>
                </c:pt>
              </c:strCache>
            </c:strRef>
          </c:tx>
          <c:cat>
            <c:numRef>
              <c:f>Sheet1!$B$2:$M$2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Sheet1!$B$3:$M$3</c:f>
              <c:numCache>
                <c:formatCode>#,##0.00_);\(#,##0.00\)</c:formatCode>
                <c:ptCount val="12"/>
                <c:pt idx="0">
                  <c:v>-363626.86552299373</c:v>
                </c:pt>
                <c:pt idx="1">
                  <c:v>-1349424.414729001</c:v>
                </c:pt>
                <c:pt idx="2">
                  <c:v>688681.53940400109</c:v>
                </c:pt>
                <c:pt idx="3">
                  <c:v>0</c:v>
                </c:pt>
                <c:pt idx="4">
                  <c:v>1135107.4385570027</c:v>
                </c:pt>
                <c:pt idx="5">
                  <c:v>-2310603.7085020011</c:v>
                </c:pt>
                <c:pt idx="6">
                  <c:v>-1026688.9535339989</c:v>
                </c:pt>
                <c:pt idx="7">
                  <c:v>-1511176.335440001</c:v>
                </c:pt>
                <c:pt idx="8">
                  <c:v>-1483614.197077998</c:v>
                </c:pt>
                <c:pt idx="9">
                  <c:v>-1288286.6270379988</c:v>
                </c:pt>
                <c:pt idx="10">
                  <c:v>-2088616.5970920017</c:v>
                </c:pt>
                <c:pt idx="11">
                  <c:v>-1862270.5500129997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Demand</c:v>
                </c:pt>
              </c:strCache>
            </c:strRef>
          </c:tx>
          <c:cat>
            <c:numRef>
              <c:f>Sheet1!$B$2:$M$2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Sheet1!$B$4:$M$4</c:f>
              <c:numCache>
                <c:formatCode>#,##0.00_);\(#,##0.00\)</c:formatCode>
                <c:ptCount val="12"/>
                <c:pt idx="0">
                  <c:v>-780538.83973299898</c:v>
                </c:pt>
                <c:pt idx="1">
                  <c:v>-1676402.6655339997</c:v>
                </c:pt>
                <c:pt idx="2">
                  <c:v>-1606244.3564840001</c:v>
                </c:pt>
                <c:pt idx="3">
                  <c:v>-724338.56610899908</c:v>
                </c:pt>
                <c:pt idx="4">
                  <c:v>-120857.11109200004</c:v>
                </c:pt>
                <c:pt idx="5">
                  <c:v>229663.83159000031</c:v>
                </c:pt>
                <c:pt idx="6">
                  <c:v>862900.97529599979</c:v>
                </c:pt>
                <c:pt idx="7">
                  <c:v>1347548.3399299998</c:v>
                </c:pt>
                <c:pt idx="8">
                  <c:v>1140740.15466</c:v>
                </c:pt>
                <c:pt idx="9">
                  <c:v>1206971.3773980001</c:v>
                </c:pt>
                <c:pt idx="10">
                  <c:v>899296.28302999982</c:v>
                </c:pt>
                <c:pt idx="11">
                  <c:v>732178.99664799974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736648"/>
        <c:axId val="302736256"/>
      </c:lineChart>
      <c:catAx>
        <c:axId val="302736648"/>
        <c:scaling>
          <c:orientation val="minMax"/>
        </c:scaling>
        <c:delete val="0"/>
        <c:axPos val="b"/>
        <c:numFmt formatCode="0_);\(0\)" sourceLinked="1"/>
        <c:majorTickMark val="out"/>
        <c:minorTickMark val="none"/>
        <c:tickLblPos val="low"/>
        <c:crossAx val="302736256"/>
        <c:crosses val="autoZero"/>
        <c:auto val="1"/>
        <c:lblAlgn val="ctr"/>
        <c:lblOffset val="100"/>
        <c:noMultiLvlLbl val="0"/>
      </c:catAx>
      <c:valAx>
        <c:axId val="3027362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low"/>
        <c:crossAx val="30273664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Sheet1!$A$10</c:f>
              <c:strCache>
                <c:ptCount val="1"/>
                <c:pt idx="0">
                  <c:v>Commodity</c:v>
                </c:pt>
              </c:strCache>
            </c:strRef>
          </c:tx>
          <c:cat>
            <c:numRef>
              <c:f>Sheet1!$B$9:$M$9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Sheet1!$B$10:$M$10</c:f>
              <c:numCache>
                <c:formatCode>#,##0.00_);\(#,##0.00\)</c:formatCode>
                <c:ptCount val="12"/>
                <c:pt idx="0">
                  <c:v>-244467.20447699772</c:v>
                </c:pt>
                <c:pt idx="1">
                  <c:v>-725196.73139099963</c:v>
                </c:pt>
                <c:pt idx="2">
                  <c:v>331968.15844599903</c:v>
                </c:pt>
                <c:pt idx="3">
                  <c:v>0</c:v>
                </c:pt>
                <c:pt idx="4">
                  <c:v>547802.71264300169</c:v>
                </c:pt>
                <c:pt idx="5">
                  <c:v>-1029654.8148680007</c:v>
                </c:pt>
                <c:pt idx="6">
                  <c:v>-494908.28808599967</c:v>
                </c:pt>
                <c:pt idx="7">
                  <c:v>-803843.28933000052</c:v>
                </c:pt>
                <c:pt idx="8">
                  <c:v>-778841.02357199905</c:v>
                </c:pt>
                <c:pt idx="9">
                  <c:v>-816009.11660199915</c:v>
                </c:pt>
                <c:pt idx="10">
                  <c:v>-995450.54456800083</c:v>
                </c:pt>
                <c:pt idx="11">
                  <c:v>-911936.74747700011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Sheet1!$A$11</c:f>
              <c:strCache>
                <c:ptCount val="1"/>
                <c:pt idx="0">
                  <c:v>Demand</c:v>
                </c:pt>
              </c:strCache>
            </c:strRef>
          </c:tx>
          <c:cat>
            <c:numRef>
              <c:f>Sheet1!$B$9:$M$9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Sheet1!$B$11:$M$11</c:f>
              <c:numCache>
                <c:formatCode>#,##0.00_);\(#,##0.00\)</c:formatCode>
                <c:ptCount val="12"/>
                <c:pt idx="0">
                  <c:v>-348603.87026699982</c:v>
                </c:pt>
                <c:pt idx="1">
                  <c:v>-725799.30110599974</c:v>
                </c:pt>
                <c:pt idx="2">
                  <c:v>-634725.57628600008</c:v>
                </c:pt>
                <c:pt idx="3">
                  <c:v>-205263.17475099966</c:v>
                </c:pt>
                <c:pt idx="4">
                  <c:v>-80067.220408000168</c:v>
                </c:pt>
                <c:pt idx="5">
                  <c:v>93304.253359999973</c:v>
                </c:pt>
                <c:pt idx="6">
                  <c:v>330056.73858399986</c:v>
                </c:pt>
                <c:pt idx="7">
                  <c:v>516691.11279999983</c:v>
                </c:pt>
                <c:pt idx="8">
                  <c:v>436622.32056000002</c:v>
                </c:pt>
                <c:pt idx="9">
                  <c:v>421397.81835199991</c:v>
                </c:pt>
                <c:pt idx="10">
                  <c:v>349566.40155999974</c:v>
                </c:pt>
                <c:pt idx="11">
                  <c:v>259412.69212199986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558104"/>
        <c:axId val="303154456"/>
      </c:lineChart>
      <c:catAx>
        <c:axId val="302558104"/>
        <c:scaling>
          <c:orientation val="minMax"/>
        </c:scaling>
        <c:delete val="0"/>
        <c:axPos val="b"/>
        <c:numFmt formatCode="0_);\(0\)" sourceLinked="1"/>
        <c:majorTickMark val="out"/>
        <c:minorTickMark val="none"/>
        <c:tickLblPos val="low"/>
        <c:crossAx val="303154456"/>
        <c:crosses val="autoZero"/>
        <c:auto val="1"/>
        <c:lblAlgn val="ctr"/>
        <c:lblOffset val="100"/>
        <c:noMultiLvlLbl val="0"/>
      </c:catAx>
      <c:valAx>
        <c:axId val="303154456"/>
        <c:scaling>
          <c:orientation val="minMax"/>
        </c:scaling>
        <c:delete val="0"/>
        <c:axPos val="l"/>
        <c:majorGridlines/>
        <c:numFmt formatCode="#,##0_);\(#,##0\)" sourceLinked="0"/>
        <c:majorTickMark val="out"/>
        <c:minorTickMark val="none"/>
        <c:tickLblPos val="nextTo"/>
        <c:crossAx val="30255810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16</xdr:row>
      <xdr:rowOff>104774</xdr:rowOff>
    </xdr:from>
    <xdr:to>
      <xdr:col>10</xdr:col>
      <xdr:colOff>514349</xdr:colOff>
      <xdr:row>63</xdr:row>
      <xdr:rowOff>85724</xdr:rowOff>
    </xdr:to>
    <xdr:sp macro="" textlink="">
      <xdr:nvSpPr>
        <xdr:cNvPr id="2" name="Rounded Rectangle 1"/>
        <xdr:cNvSpPr/>
      </xdr:nvSpPr>
      <xdr:spPr bwMode="auto">
        <a:xfrm>
          <a:off x="1790699" y="2962274"/>
          <a:ext cx="5543550" cy="755332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47625</xdr:colOff>
      <xdr:row>17</xdr:row>
      <xdr:rowOff>76200</xdr:rowOff>
    </xdr:from>
    <xdr:to>
      <xdr:col>10</xdr:col>
      <xdr:colOff>347943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40</xdr:row>
      <xdr:rowOff>47625</xdr:rowOff>
    </xdr:from>
    <xdr:to>
      <xdr:col>10</xdr:col>
      <xdr:colOff>376518</xdr:colOff>
      <xdr:row>62</xdr:row>
      <xdr:rowOff>54909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5102495" y="340085"/>
          <a:ext cx="393929" cy="2897250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34697</xdr:colOff>
      <xdr:row>24</xdr:row>
      <xdr:rowOff>48745</xdr:rowOff>
    </xdr:from>
    <xdr:to>
      <xdr:col>14</xdr:col>
      <xdr:colOff>22412</xdr:colOff>
      <xdr:row>63</xdr:row>
      <xdr:rowOff>44825</xdr:rowOff>
    </xdr:to>
    <xdr:sp macro="" textlink="">
      <xdr:nvSpPr>
        <xdr:cNvPr id="2" name="Rounded Rectangle 1"/>
        <xdr:cNvSpPr/>
      </xdr:nvSpPr>
      <xdr:spPr bwMode="auto">
        <a:xfrm>
          <a:off x="34697" y="3455333"/>
          <a:ext cx="9243774" cy="6080874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78439</xdr:colOff>
      <xdr:row>25</xdr:row>
      <xdr:rowOff>78441</xdr:rowOff>
    </xdr:from>
    <xdr:to>
      <xdr:col>6</xdr:col>
      <xdr:colOff>324968</xdr:colOff>
      <xdr:row>43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67234</xdr:colOff>
      <xdr:row>43</xdr:row>
      <xdr:rowOff>156871</xdr:rowOff>
    </xdr:from>
    <xdr:to>
      <xdr:col>6</xdr:col>
      <xdr:colOff>313763</xdr:colOff>
      <xdr:row>61</xdr:row>
      <xdr:rowOff>112047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358587</xdr:colOff>
      <xdr:row>43</xdr:row>
      <xdr:rowOff>156872</xdr:rowOff>
    </xdr:from>
    <xdr:to>
      <xdr:col>13</xdr:col>
      <xdr:colOff>616323</xdr:colOff>
      <xdr:row>61</xdr:row>
      <xdr:rowOff>112048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369793</xdr:colOff>
      <xdr:row>25</xdr:row>
      <xdr:rowOff>78441</xdr:rowOff>
    </xdr:from>
    <xdr:to>
      <xdr:col>13</xdr:col>
      <xdr:colOff>627529</xdr:colOff>
      <xdr:row>43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12264</xdr:colOff>
      <xdr:row>16</xdr:row>
      <xdr:rowOff>104774</xdr:rowOff>
    </xdr:from>
    <xdr:to>
      <xdr:col>7</xdr:col>
      <xdr:colOff>0</xdr:colOff>
      <xdr:row>67</xdr:row>
      <xdr:rowOff>89647</xdr:rowOff>
    </xdr:to>
    <xdr:sp macro="" textlink="">
      <xdr:nvSpPr>
        <xdr:cNvPr id="2" name="Rounded Rectangle 1"/>
        <xdr:cNvSpPr/>
      </xdr:nvSpPr>
      <xdr:spPr bwMode="auto">
        <a:xfrm>
          <a:off x="12264" y="2883833"/>
          <a:ext cx="4929530" cy="795225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142894</xdr:colOff>
      <xdr:row>17</xdr:row>
      <xdr:rowOff>76200</xdr:rowOff>
    </xdr:from>
    <xdr:to>
      <xdr:col>6</xdr:col>
      <xdr:colOff>491831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171469</xdr:colOff>
      <xdr:row>40</xdr:row>
      <xdr:rowOff>47624</xdr:rowOff>
    </xdr:from>
    <xdr:to>
      <xdr:col>6</xdr:col>
      <xdr:colOff>520406</xdr:colOff>
      <xdr:row>65</xdr:row>
      <xdr:rowOff>44824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4323640" y="341341"/>
          <a:ext cx="333800" cy="2907952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4340609" y="1368562"/>
          <a:ext cx="333799" cy="2196708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4340609" y="1368562"/>
          <a:ext cx="333799" cy="2196708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16</xdr:row>
      <xdr:rowOff>104774</xdr:rowOff>
    </xdr:from>
    <xdr:to>
      <xdr:col>5</xdr:col>
      <xdr:colOff>314325</xdr:colOff>
      <xdr:row>40</xdr:row>
      <xdr:rowOff>38099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657225</xdr:colOff>
      <xdr:row>16</xdr:row>
      <xdr:rowOff>133350</xdr:rowOff>
    </xdr:from>
    <xdr:to>
      <xdr:col>10</xdr:col>
      <xdr:colOff>923925</xdr:colOff>
      <xdr:row>33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s\2015%20WA%20ID%20%20Gas%20Co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08"/>
      <sheetName val="Jan 09"/>
      <sheetName val="Feb 09"/>
      <sheetName val="Mar 09"/>
      <sheetName val="Apr 09"/>
      <sheetName val="May 09"/>
      <sheetName val="Jun 09"/>
      <sheetName val="Jul 09"/>
      <sheetName val="Aug 09"/>
      <sheetName val="Sep 09"/>
      <sheetName val="Oct 09"/>
      <sheetName val="Nov 09"/>
      <sheetName val="Dec 09"/>
      <sheetName val="Jan 10"/>
      <sheetName val="Feb 10"/>
      <sheetName val="Mar 10"/>
      <sheetName val="Apr 10"/>
      <sheetName val="May 10"/>
      <sheetName val="Jun 10"/>
      <sheetName val="Jul 10"/>
      <sheetName val="Aug 10"/>
      <sheetName val="Sep 10"/>
      <sheetName val="Oct 10"/>
      <sheetName val="Jan 15"/>
      <sheetName val="Feb 15"/>
      <sheetName val="Mar 15"/>
      <sheetName val="April 15"/>
      <sheetName val="May 15"/>
      <sheetName val="June 15"/>
      <sheetName val="July 15"/>
      <sheetName val="Aug 15"/>
      <sheetName val="Sept 15"/>
      <sheetName val="Oct 15 "/>
      <sheetName val="Nov 15  "/>
      <sheetName val="Dec 15  "/>
      <sheetName val="2015 Gas Costs"/>
      <sheetName val="Gas Costs Check to Deferral"/>
      <sheetName val="Sheet2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1"/>
  <sheetViews>
    <sheetView workbookViewId="0">
      <selection sqref="A1:N64"/>
    </sheetView>
  </sheetViews>
  <sheetFormatPr defaultRowHeight="13"/>
  <cols>
    <col min="1" max="1" width="18.69921875" bestFit="1" customWidth="1"/>
    <col min="2" max="14" width="9.296875" customWidth="1"/>
    <col min="16" max="16" width="2.3984375" customWidth="1"/>
    <col min="17" max="23" width="10.69921875" customWidth="1"/>
    <col min="24" max="24" width="5.69921875" customWidth="1"/>
  </cols>
  <sheetData>
    <row r="1" spans="1:34">
      <c r="C1" s="698" t="s">
        <v>193</v>
      </c>
      <c r="D1" s="698"/>
      <c r="E1" s="698"/>
      <c r="F1" s="698"/>
      <c r="G1" s="698"/>
      <c r="H1" s="698"/>
      <c r="I1" s="698"/>
      <c r="J1" s="698"/>
      <c r="K1" s="698"/>
      <c r="P1" s="700"/>
      <c r="Q1" s="700"/>
      <c r="R1" s="700"/>
      <c r="S1" s="700"/>
      <c r="T1" s="700"/>
      <c r="U1" s="700"/>
      <c r="V1" s="700"/>
      <c r="W1" s="700"/>
      <c r="X1" s="700"/>
    </row>
    <row r="2" spans="1:34" ht="25.5">
      <c r="C2" s="699" t="s">
        <v>248</v>
      </c>
      <c r="D2" s="699"/>
      <c r="E2" s="699"/>
      <c r="F2" s="699"/>
      <c r="G2" s="699"/>
      <c r="H2" s="699"/>
      <c r="I2" s="699"/>
      <c r="J2" s="699"/>
      <c r="K2" s="699"/>
      <c r="P2" s="698"/>
      <c r="Q2" s="698"/>
      <c r="R2" s="698"/>
      <c r="S2" s="698"/>
      <c r="T2" s="698"/>
      <c r="U2" s="698"/>
      <c r="V2" s="698"/>
      <c r="W2" s="698"/>
      <c r="X2" s="698"/>
      <c r="Z2" s="698"/>
      <c r="AA2" s="698"/>
      <c r="AB2" s="698"/>
      <c r="AC2" s="698"/>
      <c r="AD2" s="698"/>
      <c r="AE2" s="698"/>
      <c r="AF2" s="698"/>
      <c r="AG2" s="698"/>
      <c r="AH2" s="698"/>
    </row>
    <row r="3" spans="1:34" ht="25.5">
      <c r="C3" s="698" t="s">
        <v>195</v>
      </c>
      <c r="D3" s="698"/>
      <c r="E3" s="698"/>
      <c r="F3" s="698"/>
      <c r="G3" s="698"/>
      <c r="H3" s="698"/>
      <c r="I3" s="698"/>
      <c r="J3" s="698"/>
      <c r="K3" s="698"/>
      <c r="P3" s="699"/>
      <c r="Q3" s="699"/>
      <c r="R3" s="699"/>
      <c r="S3" s="699"/>
      <c r="T3" s="699"/>
      <c r="U3" s="699"/>
      <c r="V3" s="699"/>
      <c r="W3" s="699"/>
      <c r="X3" s="699"/>
      <c r="Z3" s="701"/>
      <c r="AA3" s="701"/>
      <c r="AB3" s="701"/>
      <c r="AC3" s="701"/>
      <c r="AD3" s="701"/>
      <c r="AE3" s="701"/>
      <c r="AF3" s="701"/>
      <c r="AG3" s="701"/>
      <c r="AH3" s="701"/>
    </row>
    <row r="4" spans="1:34">
      <c r="A4" t="s">
        <v>194</v>
      </c>
      <c r="B4" s="268">
        <v>41183</v>
      </c>
      <c r="C4" s="268">
        <v>41214</v>
      </c>
      <c r="D4" s="268">
        <v>41244</v>
      </c>
      <c r="E4" s="268">
        <v>41275</v>
      </c>
      <c r="F4" s="268">
        <v>41306</v>
      </c>
      <c r="G4" s="268">
        <v>41334</v>
      </c>
      <c r="H4" s="268">
        <v>41365</v>
      </c>
      <c r="I4" s="268">
        <v>41395</v>
      </c>
      <c r="J4" s="268">
        <v>41426</v>
      </c>
      <c r="K4" s="268">
        <v>41456</v>
      </c>
      <c r="L4" s="268">
        <v>41487</v>
      </c>
      <c r="M4" s="268">
        <v>41518</v>
      </c>
      <c r="N4" s="268">
        <v>41548</v>
      </c>
      <c r="P4" s="698"/>
      <c r="Q4" s="698"/>
      <c r="R4" s="698"/>
      <c r="S4" s="698"/>
      <c r="T4" s="698"/>
      <c r="U4" s="698"/>
      <c r="V4" s="698"/>
      <c r="W4" s="698"/>
      <c r="X4" s="698"/>
      <c r="Z4" s="698"/>
      <c r="AA4" s="698"/>
      <c r="AB4" s="698"/>
      <c r="AC4" s="698"/>
      <c r="AD4" s="698"/>
      <c r="AE4" s="698"/>
      <c r="AF4" s="698"/>
      <c r="AG4" s="698"/>
    </row>
    <row r="6" spans="1:34">
      <c r="A6" s="269" t="s">
        <v>196</v>
      </c>
    </row>
    <row r="7" spans="1:34">
      <c r="A7" s="270"/>
      <c r="B7" s="271" t="str">
        <f>TEXT(B4,"mmmmm-YY")</f>
        <v>O-12</v>
      </c>
      <c r="C7" s="271" t="str">
        <f>TEXT(C4,"mmmmm-YY")</f>
        <v>N-12</v>
      </c>
      <c r="D7" s="271" t="str">
        <f>TEXT(D4,"mmmmm")</f>
        <v>D</v>
      </c>
      <c r="E7" s="271" t="str">
        <f>TEXT(E4,"mmmmm-YY")</f>
        <v>J-13</v>
      </c>
      <c r="F7" s="271" t="str">
        <f>TEXT(F4,"mmmmm-YY")</f>
        <v>F-13</v>
      </c>
      <c r="G7" s="271" t="str">
        <f t="shared" ref="G7:N7" si="0">TEXT(G4,"mmmmm")</f>
        <v>M</v>
      </c>
      <c r="H7" s="271" t="str">
        <f t="shared" si="0"/>
        <v>A</v>
      </c>
      <c r="I7" s="271" t="str">
        <f t="shared" si="0"/>
        <v>M</v>
      </c>
      <c r="J7" s="271" t="str">
        <f t="shared" si="0"/>
        <v>J</v>
      </c>
      <c r="K7" s="271" t="str">
        <f t="shared" si="0"/>
        <v>J</v>
      </c>
      <c r="L7" s="271" t="str">
        <f t="shared" si="0"/>
        <v>A</v>
      </c>
      <c r="M7" s="271" t="str">
        <f t="shared" si="0"/>
        <v>S</v>
      </c>
      <c r="N7" s="271" t="str">
        <f t="shared" si="0"/>
        <v>O</v>
      </c>
    </row>
    <row r="8" spans="1:34">
      <c r="A8" t="s">
        <v>2</v>
      </c>
      <c r="B8" s="272">
        <f>'WA Def 191010'!D8/-1000000</f>
        <v>6.691252092754679</v>
      </c>
      <c r="C8" s="272">
        <f>'WA Def 191010'!D19/-1000000</f>
        <v>0.90240319623620857</v>
      </c>
      <c r="D8" s="272">
        <f>'WA Def 191010'!D27/-1000000</f>
        <v>-0.24153536134178891</v>
      </c>
      <c r="E8" s="272">
        <f>'WA Def 191010'!D35/-1000000</f>
        <v>1.612370665690211</v>
      </c>
      <c r="F8" s="272">
        <f>'WA Def 191010'!D43/-1000000</f>
        <v>0.64834278387021227</v>
      </c>
      <c r="G8" s="272">
        <f>'WA Def 191010'!D51/-1000000</f>
        <v>0.33671900480321282</v>
      </c>
      <c r="H8" s="272">
        <f>'WA Def 191010'!D59/-1000000</f>
        <v>0.63119416496921332</v>
      </c>
      <c r="I8" s="272">
        <f>'WA Def 191010'!D67/-1000000</f>
        <v>1.2090547576992148</v>
      </c>
      <c r="J8" s="272">
        <f>'WA Def 191010'!D75/-1000000</f>
        <v>1.3830479967132137</v>
      </c>
      <c r="K8" s="272">
        <f>'WA Def 191010'!D83/-1000000</f>
        <v>1.8775711130472124</v>
      </c>
      <c r="L8" s="272">
        <f>'WA Def 191010'!D91/-1000000</f>
        <v>2.5238373414722122</v>
      </c>
      <c r="M8" s="272">
        <f>'WA Def 191010'!D99/-1000000</f>
        <v>3.3385260271402131</v>
      </c>
      <c r="N8" s="272">
        <f>'WA Def 191010'!E99/-1000000</f>
        <v>-6.0831075290700021</v>
      </c>
    </row>
    <row r="9" spans="1:34">
      <c r="A9" t="s">
        <v>3</v>
      </c>
      <c r="B9" s="272">
        <f>'WA Def 191010'!E8/-1000000</f>
        <v>-0.80916936732299949</v>
      </c>
      <c r="C9" s="272">
        <f>'WA Def 191010'!E19/-1000000</f>
        <v>-3.8730244701439993</v>
      </c>
      <c r="D9" s="272">
        <f>'WA Def 191010'!E27/-1000000</f>
        <v>-3.0674777859969997</v>
      </c>
      <c r="E9" s="272">
        <f>'WA Def 191010'!E35/-1000000</f>
        <v>-1.6934499394870002</v>
      </c>
      <c r="F9" s="272">
        <f>'WA Def 191010'!E43/-1000000</f>
        <v>-0.95669013858100027</v>
      </c>
      <c r="G9" s="272">
        <f>'WA Def 191010'!E51/-1000000</f>
        <v>-0.56131225301100107</v>
      </c>
      <c r="H9" s="272">
        <f>'WA Def 191010'!E59/-1000000</f>
        <v>-0.69541010451100072</v>
      </c>
      <c r="I9" s="272">
        <f>'WA Def 191010'!E67/-1000000</f>
        <v>-1.5643559408390004</v>
      </c>
      <c r="J9" s="272">
        <f>'WA Def 191010'!E75/-1000000</f>
        <v>-2.5778206653800004</v>
      </c>
      <c r="K9" s="272">
        <f>'WA Def 191010'!E83/-1000000</f>
        <v>-3.8494386956210014</v>
      </c>
      <c r="L9" s="272">
        <f>'WA Def 191010'!E91/-1000000</f>
        <v>-5.0597053680260018</v>
      </c>
      <c r="M9" s="272">
        <f>'WA Def 191010'!E99/-1000000</f>
        <v>-6.0831075290700021</v>
      </c>
      <c r="N9" s="272">
        <f>'WA Def 191010'!F99/-1000000</f>
        <v>3.1801240000000015E-2</v>
      </c>
    </row>
    <row r="10" spans="1:34">
      <c r="A10" s="273" t="s">
        <v>21</v>
      </c>
      <c r="B10" s="274">
        <f>SUM(B8:B9)</f>
        <v>5.8820827254316796</v>
      </c>
      <c r="C10" s="274">
        <f>SUM(C8:C9)</f>
        <v>-2.9706212739077906</v>
      </c>
      <c r="D10" s="274">
        <f t="shared" ref="D10:N10" si="1">SUM(D8:D9)</f>
        <v>-3.3090131473387885</v>
      </c>
      <c r="E10" s="274">
        <f t="shared" si="1"/>
        <v>-8.1079273796789142E-2</v>
      </c>
      <c r="F10" s="274">
        <f t="shared" ref="F10" si="2">SUM(F8:F9)</f>
        <v>-0.308347354710788</v>
      </c>
      <c r="G10" s="274">
        <f t="shared" si="1"/>
        <v>-0.22459324820778825</v>
      </c>
      <c r="H10" s="274">
        <f t="shared" si="1"/>
        <v>-6.4215939541787392E-2</v>
      </c>
      <c r="I10" s="274">
        <f t="shared" si="1"/>
        <v>-0.35530118313978565</v>
      </c>
      <c r="J10" s="274">
        <f t="shared" si="1"/>
        <v>-1.1947726686667868</v>
      </c>
      <c r="K10" s="274">
        <f t="shared" ref="K10" si="3">SUM(K8:K9)</f>
        <v>-1.971867582573789</v>
      </c>
      <c r="L10" s="274">
        <f t="shared" si="1"/>
        <v>-2.5358680265537896</v>
      </c>
      <c r="M10" s="274">
        <f t="shared" ref="M10" si="4">SUM(M8:M9)</f>
        <v>-2.744581501929789</v>
      </c>
      <c r="N10" s="274">
        <f t="shared" si="1"/>
        <v>-6.051306289070002</v>
      </c>
    </row>
    <row r="12" spans="1:34">
      <c r="A12" s="269" t="s">
        <v>223</v>
      </c>
    </row>
    <row r="13" spans="1:34">
      <c r="A13" s="270"/>
      <c r="B13" s="271" t="str">
        <f>TEXT(B4,"mmmmm-YY")</f>
        <v>O-12</v>
      </c>
      <c r="C13" s="271" t="str">
        <f>TEXT(C4,"mmmmm")</f>
        <v>N</v>
      </c>
      <c r="D13" s="271" t="str">
        <f>TEXT(D4,"mmmmm")</f>
        <v>D</v>
      </c>
      <c r="E13" s="271" t="str">
        <f t="shared" ref="E13:F13" si="5">TEXT(E4,"mmmmm-YY")</f>
        <v>J-13</v>
      </c>
      <c r="F13" s="271" t="str">
        <f t="shared" si="5"/>
        <v>F-13</v>
      </c>
      <c r="G13" s="271" t="str">
        <f t="shared" ref="G13:L13" si="6">TEXT(G4,"mmmmm")</f>
        <v>M</v>
      </c>
      <c r="H13" s="271" t="str">
        <f t="shared" si="6"/>
        <v>A</v>
      </c>
      <c r="I13" s="271" t="str">
        <f t="shared" si="6"/>
        <v>M</v>
      </c>
      <c r="J13" s="271" t="str">
        <f t="shared" si="6"/>
        <v>J</v>
      </c>
      <c r="K13" s="271" t="str">
        <f t="shared" ref="K13" si="7">TEXT(K4,"mmmmm")</f>
        <v>J</v>
      </c>
      <c r="L13" s="271" t="str">
        <f t="shared" si="6"/>
        <v>A</v>
      </c>
      <c r="M13" s="271" t="str">
        <f t="shared" ref="M13" si="8">TEXT(M4,"mmmmm")</f>
        <v>S</v>
      </c>
      <c r="N13" s="271" t="s">
        <v>247</v>
      </c>
    </row>
    <row r="14" spans="1:34">
      <c r="A14" t="s">
        <v>2</v>
      </c>
      <c r="B14" s="272">
        <f>('ID Def 191010'!D20+'ID Holdback 191015'!D16)/-1000000</f>
        <v>2.1383911983473967</v>
      </c>
      <c r="C14" s="272">
        <f>('ID Def 191010'!D29+'ID Holdback 191015'!D23)/-1000000</f>
        <v>1.2444255776995812</v>
      </c>
      <c r="D14" s="272">
        <f>('ID Def 191010'!D47+'ID Holdback 191015'!D30)/-1000000</f>
        <v>0.87195540999758092</v>
      </c>
      <c r="E14" s="272">
        <f>('ID Def 191010'!D56+'ID Holdback 191015'!D37)/-1000000</f>
        <v>1.6660490220255828</v>
      </c>
      <c r="F14" s="272">
        <f>('ID Def 191010'!D65+'ID Holdback 191015'!D45)/-1000000</f>
        <v>1.2966995405455823</v>
      </c>
      <c r="G14" s="272">
        <f>('ID Def 191010'!D74+'ID Holdback 191015'!D53)/-1000000</f>
        <v>1.1561449650525837</v>
      </c>
      <c r="H14" s="272">
        <f>('ID Def 191010'!D83+'ID Holdback 191015'!D61)/-1000000</f>
        <v>1.2996516898465837</v>
      </c>
      <c r="I14" s="272">
        <f>('ID Def 191010'!D92+'ID Holdback 191015'!D69)/-1000000</f>
        <v>1.5610150065365844</v>
      </c>
      <c r="J14" s="272">
        <f>('ID Def 191010'!D101+'ID Holdback 191015'!D77)/-1000000</f>
        <v>1.6482739833225839</v>
      </c>
      <c r="K14" s="272">
        <f>('ID Def 191010'!D110+'ID Holdback 191015'!D85)/-1000000</f>
        <v>1.8954571715485831</v>
      </c>
      <c r="L14" s="272">
        <f>('ID Def 191010'!D119+'ID Holdback 191015'!D93)/-1000000</f>
        <v>2.2528616869035827</v>
      </c>
      <c r="M14" s="272">
        <f>('ID Def 191010'!D128+'ID Holdback 191015'!D101)/-1000000</f>
        <v>2.7080381318555831</v>
      </c>
      <c r="N14" s="272">
        <f>('ID Def 191010'!D137+'ID Holdback 191015'!D109)/-1000000</f>
        <v>0.56600077745999999</v>
      </c>
    </row>
    <row r="15" spans="1:34">
      <c r="A15" t="s">
        <v>3</v>
      </c>
      <c r="B15" s="272">
        <f>('ID Def 191010'!E20+'ID Holdback 191015'!E16)/-1000000</f>
        <v>-0.82418407251353221</v>
      </c>
      <c r="C15" s="272">
        <f>('ID Def 191010'!E29+'ID Holdback 191015'!E23)/-1000000</f>
        <v>-0.80322416033553246</v>
      </c>
      <c r="D15" s="272">
        <f>('ID Def 191010'!E47+'ID Holdback 191015'!E30)/-1000000</f>
        <v>-0.39310178017253256</v>
      </c>
      <c r="E15" s="272">
        <f>('ID Def 191010'!E56+'ID Holdback 191015'!E37)/-1000000</f>
        <v>0.17129077183746722</v>
      </c>
      <c r="F15" s="272">
        <f>('ID Def 191010'!E65+'ID Holdback 191015'!E45)/-1000000</f>
        <v>0.35307272873146694</v>
      </c>
      <c r="G15" s="272">
        <f>('ID Def 191010'!E74+'ID Holdback 191015'!E53)/-1000000</f>
        <v>0.56382016840146643</v>
      </c>
      <c r="H15" s="272">
        <f>('ID Def 191010'!E83+'ID Holdback 191015'!E61)/-1000000</f>
        <v>0.53955121001146655</v>
      </c>
      <c r="I15" s="272">
        <f>('ID Def 191010'!E92+'ID Holdback 191015'!E69)/-1000000</f>
        <v>0.18205832733946647</v>
      </c>
      <c r="J15" s="272">
        <f>('ID Def 191010'!E101+'ID Holdback 191015'!E77)/-1000000</f>
        <v>-0.22184721294953361</v>
      </c>
      <c r="K15" s="272">
        <f>('ID Def 191010'!E110+'ID Holdback 191015'!E85)/-1000000</f>
        <v>-0.73848372468853407</v>
      </c>
      <c r="L15" s="272">
        <f>('ID Def 191010'!E119+'ID Holdback 191015'!E93)/-1000000</f>
        <v>-1.2085874236835343</v>
      </c>
      <c r="M15" s="272">
        <f>('ID Def 191010'!E128+'ID Holdback 191015'!E101)/-1000000</f>
        <v>-1.5854874293295345</v>
      </c>
      <c r="N15" s="272">
        <f>('ID Def 191010'!E137+'ID Holdback 191015'!E109)/-1000000</f>
        <v>-8.1480250077000355E-2</v>
      </c>
    </row>
    <row r="16" spans="1:34">
      <c r="A16" s="273" t="s">
        <v>21</v>
      </c>
      <c r="B16" s="274">
        <f>SUM(B14:B15)</f>
        <v>1.3142071258338643</v>
      </c>
      <c r="C16" s="274">
        <f>SUM(C14:C15)</f>
        <v>0.44120141736404872</v>
      </c>
      <c r="D16" s="274">
        <f t="shared" ref="D16:L16" si="9">SUM(D14:D15)</f>
        <v>0.47885362982504837</v>
      </c>
      <c r="E16" s="274">
        <f t="shared" si="9"/>
        <v>1.83733979386305</v>
      </c>
      <c r="F16" s="274">
        <f t="shared" ref="F16" si="10">SUM(F14:F15)</f>
        <v>1.6497722692770493</v>
      </c>
      <c r="G16" s="274">
        <f t="shared" si="9"/>
        <v>1.7199651334540502</v>
      </c>
      <c r="H16" s="274">
        <f t="shared" si="9"/>
        <v>1.8392028998580503</v>
      </c>
      <c r="I16" s="274">
        <f t="shared" si="9"/>
        <v>1.7430733338760509</v>
      </c>
      <c r="J16" s="274">
        <f t="shared" si="9"/>
        <v>1.4264267703730502</v>
      </c>
      <c r="K16" s="274">
        <f t="shared" si="9"/>
        <v>1.156973446860049</v>
      </c>
      <c r="L16" s="274">
        <f t="shared" si="9"/>
        <v>1.0442742632200483</v>
      </c>
      <c r="M16" s="274">
        <f t="shared" ref="M16:N16" si="11">SUM(M14:M15)</f>
        <v>1.1225507025260486</v>
      </c>
      <c r="N16" s="274">
        <f t="shared" si="11"/>
        <v>0.48452052738299967</v>
      </c>
    </row>
    <row r="51" ht="9.75" customHeight="1"/>
  </sheetData>
  <mergeCells count="10">
    <mergeCell ref="C1:K1"/>
    <mergeCell ref="C2:K2"/>
    <mergeCell ref="C3:K3"/>
    <mergeCell ref="P4:X4"/>
    <mergeCell ref="Z4:AG4"/>
    <mergeCell ref="P1:X1"/>
    <mergeCell ref="P2:X2"/>
    <mergeCell ref="Z2:AH2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zoomScale="85" zoomScaleNormal="85" workbookViewId="0">
      <selection activeCell="L47" sqref="L47"/>
    </sheetView>
  </sheetViews>
  <sheetFormatPr defaultRowHeight="13"/>
  <cols>
    <col min="1" max="1" width="17.59765625" bestFit="1" customWidth="1"/>
    <col min="2" max="2" width="7.296875" bestFit="1" customWidth="1"/>
    <col min="3" max="3" width="4.8984375" bestFit="1" customWidth="1"/>
    <col min="4" max="4" width="16.69921875" bestFit="1" customWidth="1"/>
    <col min="5" max="5" width="12.296875" bestFit="1" customWidth="1"/>
    <col min="6" max="6" width="9.296875" bestFit="1" customWidth="1"/>
    <col min="7" max="7" width="7.09765625" bestFit="1" customWidth="1"/>
    <col min="8" max="8" width="12.3984375" bestFit="1" customWidth="1"/>
    <col min="9" max="9" width="22.8984375" bestFit="1" customWidth="1"/>
    <col min="10" max="10" width="18.09765625" bestFit="1" customWidth="1"/>
    <col min="11" max="11" width="12.3984375" bestFit="1" customWidth="1"/>
    <col min="12" max="12" width="23.59765625" bestFit="1" customWidth="1"/>
    <col min="13" max="13" width="40.3984375" bestFit="1" customWidth="1"/>
    <col min="15" max="15" width="12.8984375" customWidth="1"/>
  </cols>
  <sheetData>
    <row r="1" spans="1:13" ht="14.5">
      <c r="A1" s="504" t="s">
        <v>274</v>
      </c>
      <c r="B1" s="505" t="s">
        <v>275</v>
      </c>
      <c r="C1" s="506" t="s">
        <v>276</v>
      </c>
      <c r="D1" s="507" t="s">
        <v>277</v>
      </c>
      <c r="E1" s="506" t="s">
        <v>278</v>
      </c>
      <c r="F1" s="504" t="s">
        <v>279</v>
      </c>
      <c r="G1" s="504" t="s">
        <v>280</v>
      </c>
      <c r="H1" s="504" t="s">
        <v>281</v>
      </c>
      <c r="I1" s="504" t="s">
        <v>282</v>
      </c>
      <c r="J1" s="504" t="s">
        <v>283</v>
      </c>
      <c r="K1" s="508" t="s">
        <v>284</v>
      </c>
      <c r="L1" s="508" t="s">
        <v>285</v>
      </c>
      <c r="M1" s="506" t="s">
        <v>286</v>
      </c>
    </row>
    <row r="2" spans="1:13" ht="14.5">
      <c r="A2" s="509" t="s">
        <v>287</v>
      </c>
      <c r="B2" s="510"/>
      <c r="C2" s="510"/>
      <c r="D2" s="510"/>
      <c r="E2" s="510"/>
      <c r="F2" s="509">
        <v>1</v>
      </c>
      <c r="G2" s="511" t="str">
        <f>LEFT('WA - Def-Amtz'!AI5,6)</f>
        <v>419600</v>
      </c>
      <c r="H2" s="511" t="str">
        <f>LEFT('WA - Def-Amtz'!AJ5,6)</f>
        <v>GD</v>
      </c>
      <c r="I2" s="511" t="str">
        <f>LEFT('WA - Def-Amtz'!AK5,6)</f>
        <v>WA</v>
      </c>
      <c r="J2" s="509" t="s">
        <v>290</v>
      </c>
      <c r="K2" s="512">
        <f>'WA - Def-Amtz'!AL5</f>
        <v>0</v>
      </c>
      <c r="L2" s="512">
        <f>'WA - Def-Amtz'!AM5</f>
        <v>0</v>
      </c>
      <c r="M2" s="532" t="str">
        <f>'WA - Def-Amtz'!AH5</f>
        <v>WA Deferral Interest Income</v>
      </c>
    </row>
    <row r="3" spans="1:13" ht="14.5">
      <c r="A3" s="509" t="s">
        <v>287</v>
      </c>
      <c r="B3" s="510"/>
      <c r="C3" s="510"/>
      <c r="D3" s="510"/>
      <c r="E3" s="510"/>
      <c r="F3" s="509">
        <v>1</v>
      </c>
      <c r="G3" s="511" t="str">
        <f>LEFT('WA - Def-Amtz'!AI6,6)</f>
        <v>431600</v>
      </c>
      <c r="H3" s="511" t="str">
        <f>LEFT('WA - Def-Amtz'!AJ6,6)</f>
        <v>GD</v>
      </c>
      <c r="I3" s="511" t="str">
        <f>LEFT('WA - Def-Amtz'!AK6,6)</f>
        <v>WA</v>
      </c>
      <c r="J3" s="509" t="s">
        <v>290</v>
      </c>
      <c r="K3" s="512">
        <f>'WA - Def-Amtz'!AL6</f>
        <v>10253.44</v>
      </c>
      <c r="L3" s="512">
        <f>'WA - Def-Amtz'!AM6</f>
        <v>0</v>
      </c>
      <c r="M3" s="532" t="str">
        <f>'WA - Def-Amtz'!AH6</f>
        <v>WA Deferral Interest Expense</v>
      </c>
    </row>
    <row r="4" spans="1:13" ht="14.5">
      <c r="A4" s="509" t="s">
        <v>287</v>
      </c>
      <c r="B4" s="510"/>
      <c r="C4" s="510"/>
      <c r="D4" s="510"/>
      <c r="E4" s="510"/>
      <c r="F4" s="509">
        <v>1</v>
      </c>
      <c r="G4" s="511" t="str">
        <f>LEFT('WA - Def-Amtz'!AI7,6)</f>
        <v>191010</v>
      </c>
      <c r="H4" s="511" t="str">
        <f>LEFT('WA - Def-Amtz'!AJ7,6)</f>
        <v>GD</v>
      </c>
      <c r="I4" s="511" t="str">
        <f>LEFT('WA - Def-Amtz'!AK7,6)</f>
        <v>WA</v>
      </c>
      <c r="J4" s="509" t="s">
        <v>290</v>
      </c>
      <c r="K4" s="512">
        <f>'WA - Def-Amtz'!AL7</f>
        <v>0</v>
      </c>
      <c r="L4" s="512">
        <f>'WA - Def-Amtz'!AM7</f>
        <v>1620707.4161899979</v>
      </c>
      <c r="M4" s="532" t="str">
        <f>'WA - Def-Amtz'!AH7</f>
        <v>WA Deferral</v>
      </c>
    </row>
    <row r="5" spans="1:13" ht="14.5">
      <c r="A5" s="509" t="s">
        <v>287</v>
      </c>
      <c r="B5" s="510"/>
      <c r="C5" s="510"/>
      <c r="D5" s="510"/>
      <c r="E5" s="510"/>
      <c r="F5" s="509">
        <v>1</v>
      </c>
      <c r="G5" s="511" t="str">
        <f>LEFT('WA - Def-Amtz'!AI8,6)</f>
        <v>805120</v>
      </c>
      <c r="H5" s="511" t="str">
        <f>LEFT('WA - Def-Amtz'!AJ8,6)</f>
        <v>GD</v>
      </c>
      <c r="I5" s="511" t="str">
        <f>LEFT('WA - Def-Amtz'!AK8,6)</f>
        <v>WA</v>
      </c>
      <c r="J5" s="509" t="s">
        <v>290</v>
      </c>
      <c r="K5" s="512">
        <f>'WA - Def-Amtz'!AL8</f>
        <v>1610453.976189998</v>
      </c>
      <c r="L5" s="512">
        <f>'WA - Def-Amtz'!AM8</f>
        <v>0</v>
      </c>
      <c r="M5" s="532" t="str">
        <f>'WA - Def-Amtz'!AH8</f>
        <v>WA Deferral Expense</v>
      </c>
    </row>
    <row r="6" spans="1:13" ht="14.5">
      <c r="A6" s="509" t="s">
        <v>287</v>
      </c>
      <c r="B6" s="510"/>
      <c r="C6" s="510"/>
      <c r="D6" s="510"/>
      <c r="E6" s="510"/>
      <c r="F6" s="509">
        <v>1</v>
      </c>
      <c r="G6" s="511" t="str">
        <f>LEFT('WA - Def-Amtz'!AI42,6)</f>
        <v>431600</v>
      </c>
      <c r="H6" s="511" t="str">
        <f>LEFT('WA - Def-Amtz'!AJ42,6)</f>
        <v>GD</v>
      </c>
      <c r="I6" s="511" t="str">
        <f>LEFT('WA - Def-Amtz'!AK42,6)</f>
        <v>WA</v>
      </c>
      <c r="J6" s="509" t="s">
        <v>290</v>
      </c>
      <c r="K6" s="512">
        <f>'WA - Def-Amtz'!AL42</f>
        <v>8708.8880708105207</v>
      </c>
      <c r="L6" s="512">
        <f>'WA - Def-Amtz'!AM42</f>
        <v>0</v>
      </c>
      <c r="M6" s="532" t="str">
        <f>'WA - Def-Amtz'!AH42</f>
        <v>WA Amortization Interest Expense</v>
      </c>
    </row>
    <row r="7" spans="1:13" ht="14.5">
      <c r="A7" s="509" t="s">
        <v>287</v>
      </c>
      <c r="B7" s="510"/>
      <c r="C7" s="510"/>
      <c r="D7" s="510"/>
      <c r="E7" s="510"/>
      <c r="F7" s="509">
        <v>1</v>
      </c>
      <c r="G7" s="511" t="str">
        <f>LEFT('WA - Def-Amtz'!AI43,6)</f>
        <v>191000</v>
      </c>
      <c r="H7" s="511" t="str">
        <f>LEFT('WA - Def-Amtz'!AJ43,6)</f>
        <v>GD</v>
      </c>
      <c r="I7" s="511" t="str">
        <f>LEFT('WA - Def-Amtz'!AK43,6)</f>
        <v>WA</v>
      </c>
      <c r="J7" s="509" t="s">
        <v>290</v>
      </c>
      <c r="K7" s="512">
        <f>'WA - Def-Amtz'!AL43</f>
        <v>448387.11192918947</v>
      </c>
      <c r="L7" s="512">
        <f>'WA - Def-Amtz'!AM43</f>
        <v>0</v>
      </c>
      <c r="M7" s="532" t="str">
        <f>'WA - Def-Amtz'!AH43</f>
        <v>WA Amortization</v>
      </c>
    </row>
    <row r="8" spans="1:13" ht="14.5">
      <c r="A8" s="509" t="s">
        <v>287</v>
      </c>
      <c r="B8" s="510"/>
      <c r="C8" s="510"/>
      <c r="D8" s="510"/>
      <c r="E8" s="510"/>
      <c r="F8" s="509">
        <v>1</v>
      </c>
      <c r="G8" s="511" t="str">
        <f>LEFT('WA - Def-Amtz'!AI44,6)</f>
        <v>805110</v>
      </c>
      <c r="H8" s="511" t="str">
        <f>LEFT('WA - Def-Amtz'!AJ44,6)</f>
        <v>GD</v>
      </c>
      <c r="I8" s="511" t="str">
        <f>LEFT('WA - Def-Amtz'!AK44,6)</f>
        <v>WA</v>
      </c>
      <c r="J8" s="509" t="s">
        <v>290</v>
      </c>
      <c r="K8" s="512">
        <f>'WA - Def-Amtz'!AL44</f>
        <v>0</v>
      </c>
      <c r="L8" s="512">
        <f>'WA - Def-Amtz'!AM44</f>
        <v>457096</v>
      </c>
      <c r="M8" s="532" t="str">
        <f>'WA - Def-Amtz'!AH44</f>
        <v>WA Amortization Expense</v>
      </c>
    </row>
    <row r="9" spans="1:13" ht="14.5">
      <c r="A9" s="509" t="s">
        <v>287</v>
      </c>
      <c r="B9" s="510"/>
      <c r="C9" s="510"/>
      <c r="D9" s="510"/>
      <c r="E9" s="510"/>
      <c r="F9" s="509">
        <v>1</v>
      </c>
      <c r="G9" s="511" t="str">
        <f>LEFT('WA - Def-Amtz'!AI76,6)</f>
        <v>191025</v>
      </c>
      <c r="H9" s="511" t="str">
        <f>LEFT('WA - Def-Amtz'!AJ76,6)</f>
        <v>GD</v>
      </c>
      <c r="I9" s="511" t="str">
        <f>LEFT('WA - Def-Amtz'!AK76,6)</f>
        <v>WA</v>
      </c>
      <c r="J9" s="509" t="s">
        <v>290</v>
      </c>
      <c r="K9" s="512">
        <f>'WA - Def-Amtz'!AL76</f>
        <v>1791</v>
      </c>
      <c r="L9" s="512">
        <f>'WA - Def-Amtz'!AM76</f>
        <v>0</v>
      </c>
      <c r="M9" s="532" t="str">
        <f>'WA - Def-Amtz'!AH76</f>
        <v>WA Amortization JP</v>
      </c>
    </row>
    <row r="10" spans="1:13" ht="14.5">
      <c r="A10" s="509" t="s">
        <v>287</v>
      </c>
      <c r="B10" s="510"/>
      <c r="C10" s="510"/>
      <c r="D10" s="510"/>
      <c r="E10" s="510"/>
      <c r="F10" s="509">
        <v>1</v>
      </c>
      <c r="G10" s="511" t="str">
        <f>LEFT('WA - Def-Amtz'!AI77,6)</f>
        <v>805110</v>
      </c>
      <c r="H10" s="511" t="str">
        <f>LEFT('WA - Def-Amtz'!AJ77,6)</f>
        <v>GD</v>
      </c>
      <c r="I10" s="511" t="str">
        <f>LEFT('WA - Def-Amtz'!AK77,6)</f>
        <v>WA</v>
      </c>
      <c r="J10" s="509" t="s">
        <v>290</v>
      </c>
      <c r="K10" s="512">
        <f>'WA - Def-Amtz'!AL77</f>
        <v>0</v>
      </c>
      <c r="L10" s="512">
        <f>'WA - Def-Amtz'!AM77</f>
        <v>1791</v>
      </c>
      <c r="M10" s="532" t="str">
        <f>'WA - Def-Amtz'!AH77</f>
        <v>WA Amortization Expense JP</v>
      </c>
    </row>
    <row r="11" spans="1:13" ht="14.5">
      <c r="A11" s="509"/>
      <c r="B11" s="510"/>
      <c r="C11" s="510"/>
      <c r="D11" s="510"/>
      <c r="E11" s="510"/>
      <c r="F11" s="509"/>
      <c r="G11" s="511"/>
      <c r="H11" s="511"/>
      <c r="I11" s="511"/>
      <c r="J11" s="509"/>
      <c r="K11" s="512"/>
      <c r="L11" s="512"/>
      <c r="M11" s="532"/>
    </row>
    <row r="12" spans="1:13" ht="14.5">
      <c r="A12" s="509"/>
      <c r="B12" s="510"/>
      <c r="C12" s="510"/>
      <c r="D12" s="510"/>
      <c r="E12" s="510"/>
      <c r="F12" s="509"/>
      <c r="G12" s="511"/>
      <c r="H12" s="511"/>
      <c r="I12" s="511"/>
      <c r="J12" s="509"/>
      <c r="K12" s="512"/>
      <c r="L12" s="512"/>
      <c r="M12" s="532"/>
    </row>
    <row r="13" spans="1:13" ht="14.5">
      <c r="A13" s="509" t="s">
        <v>287</v>
      </c>
      <c r="B13" s="510"/>
      <c r="C13" s="510"/>
      <c r="D13" s="510"/>
      <c r="E13" s="510"/>
      <c r="F13" s="509">
        <v>1</v>
      </c>
      <c r="G13" s="511" t="str">
        <f>LEFT('ID - Def-Amtz '!AI5,6)</f>
        <v>419600</v>
      </c>
      <c r="H13" s="511" t="str">
        <f>LEFT('ID - Def-Amtz '!AJ5,6)</f>
        <v>GD</v>
      </c>
      <c r="I13" s="511" t="str">
        <f>LEFT('ID - Def-Amtz '!AK5,6)</f>
        <v>ID</v>
      </c>
      <c r="J13" s="509" t="s">
        <v>290</v>
      </c>
      <c r="K13" s="512">
        <f>'ID - Def-Amtz '!AL5</f>
        <v>0</v>
      </c>
      <c r="L13" s="512">
        <f>'ID - Def-Amtz '!AM5</f>
        <v>0</v>
      </c>
      <c r="M13" s="532" t="str">
        <f>'ID - Def-Amtz '!AH5</f>
        <v>ID Deferral Interest Income</v>
      </c>
    </row>
    <row r="14" spans="1:13" ht="14.5">
      <c r="A14" s="509" t="s">
        <v>287</v>
      </c>
      <c r="B14" s="510"/>
      <c r="C14" s="510"/>
      <c r="D14" s="510"/>
      <c r="E14" s="510"/>
      <c r="F14" s="509">
        <v>1</v>
      </c>
      <c r="G14" s="511" t="str">
        <f>LEFT('ID - Def-Amtz '!AI6,6)</f>
        <v>431600</v>
      </c>
      <c r="H14" s="511" t="str">
        <f>LEFT('ID - Def-Amtz '!AJ6,6)</f>
        <v>GD</v>
      </c>
      <c r="I14" s="511" t="str">
        <f>LEFT('ID - Def-Amtz '!AK6,6)</f>
        <v>ID</v>
      </c>
      <c r="J14" s="509" t="s">
        <v>290</v>
      </c>
      <c r="K14" s="512">
        <f>'ID - Def-Amtz '!AL6</f>
        <v>2050</v>
      </c>
      <c r="L14" s="512">
        <f>'ID - Def-Amtz '!AM6</f>
        <v>0</v>
      </c>
      <c r="M14" s="532" t="str">
        <f>'ID - Def-Amtz '!AH6</f>
        <v>ID Deferral Interest Expense</v>
      </c>
    </row>
    <row r="15" spans="1:13" ht="14.5">
      <c r="A15" s="509" t="s">
        <v>287</v>
      </c>
      <c r="B15" s="510"/>
      <c r="C15" s="510"/>
      <c r="D15" s="510"/>
      <c r="E15" s="510"/>
      <c r="F15" s="509">
        <v>1</v>
      </c>
      <c r="G15" s="511" t="str">
        <f>LEFT('ID - Def-Amtz '!AI7,6)</f>
        <v>191010</v>
      </c>
      <c r="H15" s="511" t="str">
        <f>LEFT('ID - Def-Amtz '!AJ7,6)</f>
        <v>GD</v>
      </c>
      <c r="I15" s="511" t="str">
        <f>LEFT('ID - Def-Amtz '!AK7,6)</f>
        <v>ID</v>
      </c>
      <c r="J15" s="509" t="s">
        <v>290</v>
      </c>
      <c r="K15" s="512">
        <f>'ID - Def-Amtz '!AL7</f>
        <v>0</v>
      </c>
      <c r="L15" s="512">
        <f>'ID - Def-Amtz '!AM7</f>
        <v>640683.68380999984</v>
      </c>
      <c r="M15" s="532" t="str">
        <f>'ID - Def-Amtz '!AH7</f>
        <v>ID Deferral</v>
      </c>
    </row>
    <row r="16" spans="1:13" ht="14.5">
      <c r="A16" s="509" t="s">
        <v>287</v>
      </c>
      <c r="B16" s="510"/>
      <c r="C16" s="510"/>
      <c r="D16" s="510"/>
      <c r="E16" s="510"/>
      <c r="F16" s="509">
        <v>1</v>
      </c>
      <c r="G16" s="511" t="str">
        <f>LEFT('ID - Def-Amtz '!AI8,6)</f>
        <v>805120</v>
      </c>
      <c r="H16" s="511" t="str">
        <f>LEFT('ID - Def-Amtz '!AJ8,6)</f>
        <v>GD</v>
      </c>
      <c r="I16" s="511" t="str">
        <f>LEFT('ID - Def-Amtz '!AK8,6)</f>
        <v>ID</v>
      </c>
      <c r="J16" s="509" t="s">
        <v>290</v>
      </c>
      <c r="K16" s="512">
        <f>'ID - Def-Amtz '!AL8</f>
        <v>638633.68380999984</v>
      </c>
      <c r="L16" s="512">
        <f>'ID - Def-Amtz '!AM8</f>
        <v>0</v>
      </c>
      <c r="M16" s="532" t="str">
        <f>'ID - Def-Amtz '!AH8</f>
        <v>ID Deferral Expense</v>
      </c>
    </row>
    <row r="17" spans="1:13" ht="14.5">
      <c r="A17" s="509" t="s">
        <v>287</v>
      </c>
      <c r="B17" s="510"/>
      <c r="C17" s="510"/>
      <c r="D17" s="510"/>
      <c r="E17" s="510"/>
      <c r="F17" s="509">
        <v>1</v>
      </c>
      <c r="G17" s="511" t="str">
        <f>LEFT('ID - Def-Amtz '!AI42,6)</f>
        <v>419600</v>
      </c>
      <c r="H17" s="511" t="str">
        <f>LEFT('ID - Def-Amtz '!AJ42,6)</f>
        <v>GD</v>
      </c>
      <c r="I17" s="511" t="str">
        <f>LEFT('ID - Def-Amtz '!AK42,6)</f>
        <v>ID</v>
      </c>
      <c r="J17" s="509" t="s">
        <v>290</v>
      </c>
      <c r="K17" s="512">
        <f>'ID - Def-Amtz '!AL42</f>
        <v>0</v>
      </c>
      <c r="L17" s="512">
        <f>'ID - Def-Amtz '!AM42</f>
        <v>0</v>
      </c>
      <c r="M17" s="532" t="str">
        <f>'ID - Def-Amtz '!AH42</f>
        <v>ID Amortization Interest Income</v>
      </c>
    </row>
    <row r="18" spans="1:13" ht="14.5">
      <c r="A18" s="509" t="s">
        <v>287</v>
      </c>
      <c r="B18" s="510"/>
      <c r="C18" s="510"/>
      <c r="D18" s="510"/>
      <c r="E18" s="510"/>
      <c r="F18" s="509">
        <v>1</v>
      </c>
      <c r="G18" s="511" t="str">
        <f>LEFT('ID - Def-Amtz '!AI43,6)</f>
        <v>431600</v>
      </c>
      <c r="H18" s="511" t="str">
        <f>LEFT('ID - Def-Amtz '!AJ43,6)</f>
        <v>GD</v>
      </c>
      <c r="I18" s="511" t="str">
        <f>LEFT('ID - Def-Amtz '!AK43,6)</f>
        <v>ID</v>
      </c>
      <c r="J18" s="509" t="s">
        <v>290</v>
      </c>
      <c r="K18" s="512">
        <f>'ID - Def-Amtz '!AL43</f>
        <v>1514.5789588615733</v>
      </c>
      <c r="L18" s="512">
        <f>'ID - Def-Amtz '!AM43</f>
        <v>0</v>
      </c>
      <c r="M18" s="532" t="str">
        <f>'ID - Def-Amtz '!AH43</f>
        <v>ID Amortization Interest Expense</v>
      </c>
    </row>
    <row r="19" spans="1:13" ht="14.5">
      <c r="A19" s="509" t="s">
        <v>287</v>
      </c>
      <c r="B19" s="510"/>
      <c r="C19" s="510"/>
      <c r="D19" s="510"/>
      <c r="E19" s="510"/>
      <c r="F19" s="509">
        <v>1</v>
      </c>
      <c r="G19" s="511" t="str">
        <f>LEFT('ID - Def-Amtz '!AI44,6)</f>
        <v>191000</v>
      </c>
      <c r="H19" s="511" t="str">
        <f>LEFT('ID - Def-Amtz '!AJ44,6)</f>
        <v>GD</v>
      </c>
      <c r="I19" s="511" t="str">
        <f>LEFT('ID - Def-Amtz '!AK44,6)</f>
        <v>ID</v>
      </c>
      <c r="J19" s="509" t="s">
        <v>290</v>
      </c>
      <c r="K19" s="512">
        <f>'ID - Def-Amtz '!AL44</f>
        <v>275185.42104113841</v>
      </c>
      <c r="L19" s="512">
        <f>'ID - Def-Amtz '!AM44</f>
        <v>0</v>
      </c>
      <c r="M19" s="532" t="str">
        <f>'ID - Def-Amtz '!AH44</f>
        <v>ID Amortization</v>
      </c>
    </row>
    <row r="20" spans="1:13" ht="14.5">
      <c r="A20" s="509" t="s">
        <v>287</v>
      </c>
      <c r="B20" s="510"/>
      <c r="C20" s="510"/>
      <c r="D20" s="510"/>
      <c r="E20" s="510"/>
      <c r="F20" s="509">
        <v>1</v>
      </c>
      <c r="G20" s="511" t="str">
        <f>LEFT('ID - Def-Amtz '!AI45,6)</f>
        <v>805110</v>
      </c>
      <c r="H20" s="511" t="str">
        <f>LEFT('ID - Def-Amtz '!AJ45,6)</f>
        <v>GD</v>
      </c>
      <c r="I20" s="511" t="str">
        <f>LEFT('ID - Def-Amtz '!AK45,6)</f>
        <v>ID</v>
      </c>
      <c r="J20" s="509" t="s">
        <v>290</v>
      </c>
      <c r="K20" s="512">
        <f>'ID - Def-Amtz '!AL45</f>
        <v>0</v>
      </c>
      <c r="L20" s="512">
        <f>'ID - Def-Amtz '!AM45</f>
        <v>276700</v>
      </c>
      <c r="M20" s="532" t="str">
        <f>'ID - Def-Amtz '!AH45</f>
        <v>ID Amortization Expense</v>
      </c>
    </row>
    <row r="21" spans="1:13" ht="14.5">
      <c r="A21" s="509"/>
      <c r="B21" s="510"/>
      <c r="C21" s="510"/>
      <c r="D21" s="510"/>
      <c r="E21" s="510"/>
      <c r="F21" s="509"/>
      <c r="G21" s="511"/>
      <c r="H21" s="511"/>
      <c r="I21" s="511"/>
      <c r="J21" s="509"/>
      <c r="K21" s="512"/>
      <c r="L21" s="512"/>
      <c r="M21" s="532"/>
    </row>
    <row r="22" spans="1:13" ht="14.5">
      <c r="A22" s="509"/>
      <c r="B22" s="510"/>
      <c r="C22" s="510"/>
      <c r="D22" s="510"/>
      <c r="E22" s="510"/>
      <c r="F22" s="509"/>
      <c r="G22" s="511"/>
      <c r="H22" s="511"/>
      <c r="I22" s="511"/>
      <c r="J22" s="509"/>
      <c r="K22" s="512"/>
      <c r="L22" s="512"/>
      <c r="M22" s="532"/>
    </row>
    <row r="23" spans="1:13" s="549" customFormat="1" ht="14.5">
      <c r="A23" s="509"/>
      <c r="B23" s="510"/>
      <c r="C23" s="510"/>
      <c r="D23" s="510"/>
      <c r="E23" s="510"/>
      <c r="F23" s="509"/>
      <c r="G23" s="511"/>
      <c r="H23" s="511"/>
      <c r="I23" s="511"/>
      <c r="J23" s="509"/>
      <c r="K23" s="512"/>
      <c r="L23" s="512"/>
      <c r="M23" s="562"/>
    </row>
    <row r="24" spans="1:13" s="549" customFormat="1" ht="14.5">
      <c r="A24" s="509"/>
      <c r="B24" s="510"/>
      <c r="C24" s="510"/>
      <c r="D24" s="510"/>
      <c r="E24" s="510"/>
      <c r="F24" s="509"/>
      <c r="G24" s="511"/>
      <c r="H24" s="511"/>
      <c r="I24" s="511"/>
      <c r="J24" s="509"/>
      <c r="K24" s="512"/>
      <c r="L24" s="512"/>
      <c r="M24" s="562"/>
    </row>
    <row r="25" spans="1:13" ht="14.5">
      <c r="A25" s="509" t="s">
        <v>287</v>
      </c>
      <c r="B25" s="510"/>
      <c r="C25" s="510"/>
      <c r="D25" s="510"/>
      <c r="E25" s="510"/>
      <c r="F25" s="509">
        <v>1</v>
      </c>
      <c r="G25" s="511" t="str">
        <f>LEFT('ID - Def-Amtz '!AI75,6)</f>
        <v>419600</v>
      </c>
      <c r="H25" s="511" t="str">
        <f>LEFT('ID - Def-Amtz '!AJ75,6)</f>
        <v>GD</v>
      </c>
      <c r="I25" s="511" t="str">
        <f>LEFT('ID - Def-Amtz '!AK75,6)</f>
        <v>ID</v>
      </c>
      <c r="J25" s="509" t="s">
        <v>290</v>
      </c>
      <c r="K25" s="512">
        <f>'ID - Def-Amtz '!AL75</f>
        <v>0</v>
      </c>
      <c r="L25" s="512">
        <f>'ID - Def-Amtz '!AM75</f>
        <v>0</v>
      </c>
      <c r="M25" s="532" t="str">
        <f>'ID - Def-Amtz '!AH75</f>
        <v>ID Amortization Interest Income</v>
      </c>
    </row>
    <row r="26" spans="1:13" ht="14.5">
      <c r="A26" s="509" t="s">
        <v>287</v>
      </c>
      <c r="B26" s="510"/>
      <c r="C26" s="510"/>
      <c r="D26" s="510"/>
      <c r="E26" s="510"/>
      <c r="F26" s="509">
        <v>1</v>
      </c>
      <c r="G26" s="511" t="str">
        <f>LEFT('ID - Def-Amtz '!AI76,6)</f>
        <v>431600</v>
      </c>
      <c r="H26" s="511" t="str">
        <f>LEFT('ID - Def-Amtz '!AJ76,6)</f>
        <v>GD</v>
      </c>
      <c r="I26" s="511" t="str">
        <f>LEFT('ID - Def-Amtz '!AK76,6)</f>
        <v>ID</v>
      </c>
      <c r="J26" s="509" t="s">
        <v>290</v>
      </c>
      <c r="K26" s="512">
        <f>'ID - Def-Amtz '!AL76</f>
        <v>9.9842569321189742</v>
      </c>
      <c r="L26" s="512">
        <f>'ID - Def-Amtz '!AM76</f>
        <v>0</v>
      </c>
      <c r="M26" s="532" t="str">
        <f>'ID - Def-Amtz '!AH76</f>
        <v>ID Amortization Interest Expense</v>
      </c>
    </row>
    <row r="27" spans="1:13" ht="14.5">
      <c r="A27" s="509" t="s">
        <v>287</v>
      </c>
      <c r="B27" s="510"/>
      <c r="C27" s="510"/>
      <c r="D27" s="510"/>
      <c r="E27" s="510"/>
      <c r="F27" s="509">
        <v>1</v>
      </c>
      <c r="G27" s="511" t="str">
        <f>LEFT('ID - Def-Amtz '!AI77,6)</f>
        <v>191015</v>
      </c>
      <c r="H27" s="511" t="str">
        <f>LEFT('ID - Def-Amtz '!AJ77,6)</f>
        <v>GD</v>
      </c>
      <c r="I27" s="511" t="str">
        <f>LEFT('ID - Def-Amtz '!AK77,6)</f>
        <v>ID</v>
      </c>
      <c r="J27" s="509" t="s">
        <v>290</v>
      </c>
      <c r="K27" s="512">
        <f>'ID - Def-Amtz '!AL77</f>
        <v>0</v>
      </c>
      <c r="L27" s="512">
        <f>'ID - Def-Amtz '!AM77</f>
        <v>9.9842569321189742</v>
      </c>
      <c r="M27" s="532" t="str">
        <f>'ID - Def-Amtz '!AH77</f>
        <v>ID Amortization HB</v>
      </c>
    </row>
    <row r="28" spans="1:13" ht="14.5">
      <c r="A28" s="509" t="s">
        <v>287</v>
      </c>
      <c r="B28" s="510"/>
      <c r="C28" s="510"/>
      <c r="D28" s="510"/>
      <c r="E28" s="510"/>
      <c r="F28" s="509">
        <v>1</v>
      </c>
      <c r="G28" s="511" t="str">
        <f>LEFT('ID - Def-Amtz '!AI78,6)</f>
        <v>805111</v>
      </c>
      <c r="H28" s="511" t="str">
        <f>LEFT('ID - Def-Amtz '!AJ78,6)</f>
        <v>GD</v>
      </c>
      <c r="I28" s="511" t="str">
        <f>LEFT('ID - Def-Amtz '!AK78,6)</f>
        <v>ID</v>
      </c>
      <c r="J28" s="509" t="s">
        <v>290</v>
      </c>
      <c r="K28" s="512">
        <f>'ID - Def-Amtz '!AL78</f>
        <v>0</v>
      </c>
      <c r="L28" s="512">
        <f>'ID - Def-Amtz '!AM78</f>
        <v>0</v>
      </c>
      <c r="M28" s="532" t="str">
        <f>'ID - Def-Amtz '!AH78</f>
        <v>ID Amortization Expense HB</v>
      </c>
    </row>
    <row r="29" spans="1:13" ht="14.5">
      <c r="A29" s="509" t="s">
        <v>287</v>
      </c>
      <c r="B29" s="510"/>
      <c r="C29" s="510"/>
      <c r="D29" s="510"/>
      <c r="E29" s="510"/>
      <c r="F29" s="509">
        <v>1</v>
      </c>
      <c r="G29" s="511" t="str">
        <f>LEFT('ID - Def-Amtz '!AI79,6)</f>
        <v>191015</v>
      </c>
      <c r="H29" s="511" t="str">
        <f>LEFT('ID - Def-Amtz '!AJ79,6)</f>
        <v>GD</v>
      </c>
      <c r="I29" s="511" t="str">
        <f>LEFT('ID - Def-Amtz '!AK79,6)</f>
        <v>ID</v>
      </c>
      <c r="J29" s="509" t="s">
        <v>290</v>
      </c>
      <c r="K29" s="512">
        <f>'ID - Def-Amtz '!AL79</f>
        <v>0</v>
      </c>
      <c r="L29" s="512">
        <f>'ID - Def-Amtz '!AM79</f>
        <v>0</v>
      </c>
      <c r="M29" s="532" t="str">
        <f>'ID - Def-Amtz '!AH79</f>
        <v>Adjustment from Jan2015</v>
      </c>
    </row>
    <row r="30" spans="1:13" ht="14.5">
      <c r="A30" s="509" t="s">
        <v>287</v>
      </c>
      <c r="B30" s="510"/>
      <c r="C30" s="510"/>
      <c r="D30" s="510"/>
      <c r="E30" s="510"/>
      <c r="F30" s="509">
        <v>1</v>
      </c>
      <c r="G30" s="511" t="str">
        <f>LEFT('ID - Def-Amtz '!AI80,6)</f>
        <v>431600</v>
      </c>
      <c r="H30" s="511" t="str">
        <f>LEFT('ID - Def-Amtz '!AJ80,6)</f>
        <v>GD</v>
      </c>
      <c r="I30" s="511" t="str">
        <f>LEFT('ID - Def-Amtz '!AK80,6)</f>
        <v>ID</v>
      </c>
      <c r="J30" s="509" t="s">
        <v>290</v>
      </c>
      <c r="K30" s="512">
        <f>'ID - Def-Amtz '!AL80</f>
        <v>0</v>
      </c>
      <c r="L30" s="512">
        <f>'ID - Def-Amtz '!AM80</f>
        <v>0</v>
      </c>
      <c r="M30" s="532" t="str">
        <f>'ID - Def-Amtz '!AH80</f>
        <v>Adjustment from Jan2015</v>
      </c>
    </row>
    <row r="31" spans="1:13" ht="14.5">
      <c r="A31" s="509"/>
      <c r="B31" s="510"/>
      <c r="C31" s="510"/>
      <c r="D31" s="510"/>
      <c r="E31" s="510"/>
      <c r="F31" s="509"/>
      <c r="G31" s="511"/>
      <c r="H31" s="511"/>
      <c r="I31" s="511"/>
      <c r="J31" s="509"/>
    </row>
    <row r="32" spans="1:13">
      <c r="K32">
        <f>SUM(K2:K31)</f>
        <v>2996988.0842569298</v>
      </c>
      <c r="L32">
        <f>SUM(L2:L31)</f>
        <v>2996988.0842569298</v>
      </c>
    </row>
  </sheetData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00CC66"/>
    <pageSetUpPr fitToPage="1"/>
  </sheetPr>
  <dimension ref="A1:U1484"/>
  <sheetViews>
    <sheetView showGridLines="0" zoomScale="85" zoomScaleNormal="85" workbookViewId="0">
      <selection activeCell="I38" sqref="I38"/>
    </sheetView>
  </sheetViews>
  <sheetFormatPr defaultColWidth="16" defaultRowHeight="15.5"/>
  <cols>
    <col min="1" max="1" width="44.8984375" style="1" customWidth="1"/>
    <col min="2" max="2" width="25.59765625" style="1" customWidth="1"/>
    <col min="3" max="3" width="25.296875" style="1" customWidth="1"/>
    <col min="4" max="4" width="2.69921875" style="30" customWidth="1"/>
    <col min="5" max="5" width="4.296875" style="1" customWidth="1"/>
    <col min="6" max="6" width="26.69921875" style="1" customWidth="1"/>
    <col min="7" max="7" width="19" style="1" customWidth="1"/>
    <col min="8" max="8" width="22" style="1" customWidth="1"/>
    <col min="9" max="9" width="20.3984375" style="1" customWidth="1"/>
    <col min="10" max="10" width="26.296875" style="1" customWidth="1"/>
    <col min="11" max="11" width="21.8984375" style="1" bestFit="1" customWidth="1"/>
    <col min="12" max="12" width="23.8984375" style="1" customWidth="1"/>
    <col min="13" max="13" width="20.8984375" style="1" bestFit="1" customWidth="1"/>
    <col min="14" max="15" width="16" style="1"/>
    <col min="16" max="16" width="16.296875" style="1" bestFit="1" customWidth="1"/>
    <col min="17" max="16384" width="16" style="1"/>
  </cols>
  <sheetData>
    <row r="1" spans="1:13" ht="16" thickBot="1">
      <c r="A1" s="145" t="s">
        <v>64</v>
      </c>
      <c r="B1" s="29"/>
      <c r="C1" s="533">
        <v>201501</v>
      </c>
      <c r="F1" s="534">
        <f>C1</f>
        <v>201501</v>
      </c>
      <c r="G1" s="38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"/>
    </row>
    <row r="2" spans="1:13">
      <c r="C2" s="31"/>
      <c r="F2" s="38"/>
      <c r="G2" s="38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"/>
    </row>
    <row r="3" spans="1:13" ht="16" thickBot="1">
      <c r="A3" s="63" t="s">
        <v>110</v>
      </c>
      <c r="C3" s="32"/>
      <c r="D3" s="33"/>
      <c r="F3" s="50" t="s">
        <v>72</v>
      </c>
      <c r="G3" s="38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"/>
    </row>
    <row r="4" spans="1:13">
      <c r="A4" s="38" t="s">
        <v>88</v>
      </c>
      <c r="C4" s="314">
        <v>4598122.63</v>
      </c>
      <c r="D4" s="34"/>
      <c r="F4" s="38"/>
      <c r="G4" s="38"/>
      <c r="H4" s="11"/>
      <c r="I4" s="38"/>
      <c r="J4" s="38"/>
      <c r="L4" s="38"/>
      <c r="M4" s="38"/>
    </row>
    <row r="5" spans="1:13" ht="14.25" customHeight="1">
      <c r="A5" s="38" t="s">
        <v>31</v>
      </c>
      <c r="C5" s="314">
        <f>124247.02-378.47</f>
        <v>123868.55</v>
      </c>
      <c r="D5" s="34"/>
      <c r="F5" s="38"/>
      <c r="G5" s="38"/>
      <c r="H5" s="11"/>
      <c r="I5" s="166">
        <v>0.70840000000000003</v>
      </c>
      <c r="J5" s="166">
        <v>0.29160000000000003</v>
      </c>
      <c r="K5" s="447">
        <f>ROUND(G43/(G43+K43),4)</f>
        <v>0.69340000000000002</v>
      </c>
      <c r="L5" s="447">
        <f>1-K5</f>
        <v>0.30659999999999998</v>
      </c>
      <c r="M5" s="38"/>
    </row>
    <row r="6" spans="1:13" ht="16" thickBot="1">
      <c r="A6" s="49" t="s">
        <v>30</v>
      </c>
      <c r="C6" s="315">
        <f>-2343063.08-482980-73845.1-127100-142987.5-81979.5-18600-102391.76</f>
        <v>-3372946.94</v>
      </c>
      <c r="D6" s="34"/>
      <c r="F6" s="38"/>
      <c r="G6" s="38"/>
      <c r="H6" s="38"/>
      <c r="I6" s="38"/>
      <c r="J6" s="38"/>
      <c r="K6" s="38"/>
      <c r="L6" s="38"/>
      <c r="M6" s="38"/>
    </row>
    <row r="7" spans="1:13" ht="16" thickBot="1">
      <c r="A7" s="66" t="s">
        <v>140</v>
      </c>
      <c r="C7" s="100">
        <f>SUM(C4:C6)</f>
        <v>1349044.2399999998</v>
      </c>
      <c r="D7" s="35"/>
      <c r="F7" s="167" t="s">
        <v>139</v>
      </c>
      <c r="G7" s="167"/>
      <c r="H7" s="125">
        <f>C34</f>
        <v>2166456.6399999997</v>
      </c>
      <c r="I7" s="168">
        <f>H7*I5</f>
        <v>1534717.8837759998</v>
      </c>
      <c r="J7" s="168">
        <f>H7*J5</f>
        <v>631738.75622400001</v>
      </c>
      <c r="K7" s="168"/>
      <c r="L7" s="168"/>
      <c r="M7" s="38"/>
    </row>
    <row r="8" spans="1:13">
      <c r="A8" s="1" t="s">
        <v>89</v>
      </c>
      <c r="C8" s="314">
        <v>289222.31</v>
      </c>
      <c r="D8" s="35"/>
      <c r="F8" s="38"/>
      <c r="G8" s="38"/>
      <c r="H8" s="169"/>
      <c r="I8" s="169"/>
      <c r="J8" s="169"/>
      <c r="K8" s="169"/>
      <c r="L8" s="169"/>
      <c r="M8" s="38"/>
    </row>
    <row r="9" spans="1:13">
      <c r="A9" s="38" t="s">
        <v>90</v>
      </c>
      <c r="C9" s="314">
        <f>-57.76+9290.69</f>
        <v>9232.93</v>
      </c>
      <c r="D9" s="36"/>
      <c r="F9" s="167" t="s">
        <v>119</v>
      </c>
      <c r="G9" s="38"/>
      <c r="H9" s="168">
        <f>C55</f>
        <v>15709908.110000001</v>
      </c>
      <c r="I9" s="168"/>
      <c r="J9" s="168"/>
      <c r="K9" s="168">
        <f>H9*K5</f>
        <v>10893250.283474002</v>
      </c>
      <c r="L9" s="168">
        <f>H9*L5</f>
        <v>4816657.8265260002</v>
      </c>
      <c r="M9" s="38"/>
    </row>
    <row r="10" spans="1:13">
      <c r="A10" s="49" t="s">
        <v>91</v>
      </c>
      <c r="C10" s="315">
        <v>-3479.42</v>
      </c>
      <c r="D10" s="36"/>
      <c r="F10" s="170" t="s">
        <v>44</v>
      </c>
      <c r="G10" s="38"/>
      <c r="H10" s="168">
        <f>C56</f>
        <v>115718.95</v>
      </c>
      <c r="I10" s="168"/>
      <c r="J10" s="168"/>
      <c r="K10" s="168">
        <f>H10</f>
        <v>115718.95</v>
      </c>
      <c r="L10" s="168"/>
      <c r="M10" s="38"/>
    </row>
    <row r="11" spans="1:13">
      <c r="A11" s="66" t="s">
        <v>145</v>
      </c>
      <c r="C11" s="100">
        <f>SUM(C8:C10)</f>
        <v>294975.82</v>
      </c>
      <c r="D11" s="36"/>
      <c r="F11" s="170" t="s">
        <v>45</v>
      </c>
      <c r="G11" s="38"/>
      <c r="H11" s="171">
        <f>C57</f>
        <v>51839.37</v>
      </c>
      <c r="I11" s="168"/>
      <c r="J11" s="168"/>
      <c r="K11" s="171"/>
      <c r="L11" s="171">
        <f>H11</f>
        <v>51839.37</v>
      </c>
      <c r="M11" s="38"/>
    </row>
    <row r="12" spans="1:13">
      <c r="A12" s="1" t="s">
        <v>165</v>
      </c>
      <c r="C12" s="314">
        <f>-14558.56+218799.15</f>
        <v>204240.59</v>
      </c>
      <c r="D12" s="36"/>
      <c r="F12" s="170" t="s">
        <v>138</v>
      </c>
      <c r="G12" s="38"/>
      <c r="H12" s="168">
        <f>H9+H10+H11</f>
        <v>15877466.43</v>
      </c>
      <c r="I12" s="168"/>
      <c r="J12" s="168"/>
      <c r="K12" s="168">
        <f>SUM(K9:K11)</f>
        <v>11008969.233474001</v>
      </c>
      <c r="L12" s="168">
        <f>SUM(L9:L11)</f>
        <v>4868497.1965260003</v>
      </c>
      <c r="M12" s="38"/>
    </row>
    <row r="13" spans="1:13" ht="16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"/>
    </row>
    <row r="14" spans="1:13" ht="16" thickBot="1">
      <c r="A14" s="66" t="s">
        <v>92</v>
      </c>
      <c r="C14" s="100">
        <f>SUM(C12:C13)</f>
        <v>204240.59</v>
      </c>
      <c r="D14" s="37"/>
      <c r="F14" s="50" t="s">
        <v>69</v>
      </c>
      <c r="G14" s="176"/>
      <c r="H14" s="125">
        <f>H12+H7</f>
        <v>18043923.07</v>
      </c>
      <c r="I14" s="177">
        <f>SUM(I7:I13)</f>
        <v>1534717.8837759998</v>
      </c>
      <c r="J14" s="177">
        <f>SUM(J7:J13)</f>
        <v>631738.75622400001</v>
      </c>
      <c r="K14" s="177">
        <f>K12</f>
        <v>11008969.233474001</v>
      </c>
      <c r="L14" s="177">
        <f>L12</f>
        <v>4868497.1965260003</v>
      </c>
      <c r="M14" s="38"/>
    </row>
    <row r="15" spans="1:13">
      <c r="A15" s="1" t="s">
        <v>184</v>
      </c>
      <c r="C15" s="314">
        <f>412212.33-26428.02</f>
        <v>385784.31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"/>
      <c r="L15" s="174">
        <f>H12-K14-L14</f>
        <v>0</v>
      </c>
      <c r="M15" s="38"/>
    </row>
    <row r="16" spans="1:1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"/>
      <c r="L16" s="180"/>
      <c r="M16" s="38"/>
    </row>
    <row r="17" spans="1:14" ht="16" thickBot="1">
      <c r="A17" s="66" t="s">
        <v>186</v>
      </c>
      <c r="C17" s="100">
        <f>SUM(C15:C16)</f>
        <v>385784.31</v>
      </c>
      <c r="D17" s="37"/>
      <c r="F17" s="172"/>
      <c r="G17" s="173"/>
      <c r="H17" s="180"/>
      <c r="I17" s="181"/>
      <c r="J17" s="184"/>
      <c r="K17" s="38"/>
      <c r="L17" s="180"/>
      <c r="M17" s="38"/>
    </row>
    <row r="18" spans="1:14" ht="16" thickBot="1">
      <c r="A18" s="1" t="s">
        <v>163</v>
      </c>
      <c r="C18" s="314">
        <f>-5260.16+72707.19+6377.94</f>
        <v>73824.97</v>
      </c>
      <c r="D18" s="36"/>
      <c r="F18" s="704" t="s">
        <v>134</v>
      </c>
      <c r="G18" s="705"/>
      <c r="H18" s="705"/>
      <c r="I18" s="706"/>
      <c r="J18" s="704" t="s">
        <v>135</v>
      </c>
      <c r="K18" s="705"/>
      <c r="L18" s="705"/>
      <c r="M18" s="706"/>
    </row>
    <row r="19" spans="1:14">
      <c r="A19" s="46" t="s">
        <v>164</v>
      </c>
      <c r="C19" s="315">
        <v>30614.18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4" ht="16" thickBot="1">
      <c r="A20" s="67" t="s">
        <v>93</v>
      </c>
      <c r="C20" s="100">
        <f>SUM(C18:C19)</f>
        <v>104439.15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4">
      <c r="A21" s="46" t="s">
        <v>149</v>
      </c>
      <c r="B21" s="386"/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4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4">
      <c r="A23" s="209" t="s">
        <v>181</v>
      </c>
      <c r="C23" s="100">
        <v>0</v>
      </c>
      <c r="D23" s="36"/>
      <c r="F23" s="201" t="s">
        <v>37</v>
      </c>
      <c r="G23" s="264">
        <v>19909674</v>
      </c>
      <c r="H23" s="391">
        <v>0.1183</v>
      </c>
      <c r="I23" s="197">
        <f t="shared" ref="I23:I30" si="0">G23*H23</f>
        <v>2355314.4342</v>
      </c>
      <c r="J23" s="201" t="s">
        <v>37</v>
      </c>
      <c r="K23" s="264">
        <v>8991869</v>
      </c>
      <c r="L23" s="391">
        <v>0.10721</v>
      </c>
      <c r="M23" s="197">
        <f>K23*L23</f>
        <v>964018.27549000003</v>
      </c>
      <c r="N23" s="386"/>
    </row>
    <row r="24" spans="1:14">
      <c r="A24" s="209" t="s">
        <v>187</v>
      </c>
      <c r="C24" s="314">
        <v>0</v>
      </c>
      <c r="D24" s="36"/>
      <c r="F24" s="201" t="s">
        <v>38</v>
      </c>
      <c r="G24" s="264">
        <v>6173752</v>
      </c>
      <c r="H24" s="391">
        <v>0.11607000000000001</v>
      </c>
      <c r="I24" s="197">
        <f t="shared" si="0"/>
        <v>716587.39464000007</v>
      </c>
      <c r="J24" s="201" t="s">
        <v>38</v>
      </c>
      <c r="K24" s="264">
        <v>2818068</v>
      </c>
      <c r="L24" s="391">
        <v>0.10721</v>
      </c>
      <c r="M24" s="197">
        <f t="shared" ref="M24:M27" si="1">K24*L24</f>
        <v>302125.07027999999</v>
      </c>
      <c r="N24" s="386"/>
    </row>
    <row r="25" spans="1:14">
      <c r="A25" s="209" t="s">
        <v>190</v>
      </c>
      <c r="C25" s="316">
        <v>0</v>
      </c>
      <c r="D25" s="36"/>
      <c r="F25" s="201" t="s">
        <v>39</v>
      </c>
      <c r="G25" s="264">
        <v>0</v>
      </c>
      <c r="H25" s="391">
        <v>0.11607000000000001</v>
      </c>
      <c r="I25" s="197">
        <f t="shared" si="0"/>
        <v>0</v>
      </c>
      <c r="J25" s="201" t="s">
        <v>39</v>
      </c>
      <c r="K25" s="264">
        <v>2994</v>
      </c>
      <c r="L25" s="391">
        <v>0.10721</v>
      </c>
      <c r="M25" s="197">
        <f t="shared" si="1"/>
        <v>320.98674</v>
      </c>
      <c r="N25" s="386"/>
    </row>
    <row r="26" spans="1:14">
      <c r="A26" s="210" t="s">
        <v>189</v>
      </c>
      <c r="C26" s="317">
        <v>0</v>
      </c>
      <c r="D26" s="36"/>
      <c r="F26" s="201" t="s">
        <v>40</v>
      </c>
      <c r="G26" s="264">
        <v>513680</v>
      </c>
      <c r="H26" s="391">
        <v>9.783E-2</v>
      </c>
      <c r="I26" s="197">
        <f t="shared" si="0"/>
        <v>50253.314400000003</v>
      </c>
      <c r="J26" s="201" t="s">
        <v>40</v>
      </c>
      <c r="K26" s="264"/>
      <c r="L26" s="391">
        <v>0.10721</v>
      </c>
      <c r="M26" s="197">
        <f t="shared" si="1"/>
        <v>0</v>
      </c>
      <c r="N26" s="386"/>
    </row>
    <row r="27" spans="1:14">
      <c r="A27" s="65" t="s">
        <v>96</v>
      </c>
      <c r="C27" s="100">
        <f>SUM(C23:C26)</f>
        <v>0</v>
      </c>
      <c r="D27" s="36"/>
      <c r="F27" s="201" t="s">
        <v>41</v>
      </c>
      <c r="G27" s="264">
        <v>81674</v>
      </c>
      <c r="H27" s="391">
        <v>9.783E-2</v>
      </c>
      <c r="I27" s="197">
        <f t="shared" si="0"/>
        <v>7990.1674199999998</v>
      </c>
      <c r="J27" s="201" t="s">
        <v>41</v>
      </c>
      <c r="K27" s="264">
        <v>0</v>
      </c>
      <c r="L27" s="391">
        <v>0.10721</v>
      </c>
      <c r="M27" s="197">
        <f t="shared" si="1"/>
        <v>0</v>
      </c>
      <c r="N27" s="386"/>
    </row>
    <row r="28" spans="1:14" ht="16" thickBot="1">
      <c r="A28" s="211" t="s">
        <v>150</v>
      </c>
      <c r="C28" s="314">
        <v>0</v>
      </c>
      <c r="D28" s="37"/>
      <c r="F28" s="201" t="s">
        <v>42</v>
      </c>
      <c r="G28" s="264">
        <v>0</v>
      </c>
      <c r="H28" s="391">
        <v>6.9959999999999994E-2</v>
      </c>
      <c r="I28" s="197">
        <f t="shared" si="0"/>
        <v>0</v>
      </c>
      <c r="J28" s="200" t="s">
        <v>127</v>
      </c>
      <c r="K28" s="182">
        <f>SUM(K23:K27)</f>
        <v>11812931</v>
      </c>
      <c r="L28" s="183"/>
      <c r="M28" s="198">
        <f>SUM(M23:M27)</f>
        <v>1266464.3325100001</v>
      </c>
      <c r="N28" s="386"/>
    </row>
    <row r="29" spans="1:14" ht="16.5" thickTop="1" thickBot="1">
      <c r="A29" s="211" t="s">
        <v>167</v>
      </c>
      <c r="B29" s="38"/>
      <c r="C29" s="314">
        <v>0</v>
      </c>
      <c r="D29" s="36"/>
      <c r="F29" s="201" t="s">
        <v>43</v>
      </c>
      <c r="G29" s="264">
        <v>129251</v>
      </c>
      <c r="H29" s="391">
        <v>6.9959999999999994E-2</v>
      </c>
      <c r="I29" s="197">
        <f t="shared" si="0"/>
        <v>9042.3999599999988</v>
      </c>
      <c r="J29" s="200"/>
      <c r="K29" s="232">
        <v>11812931</v>
      </c>
      <c r="L29" s="188" t="s">
        <v>102</v>
      </c>
      <c r="M29" s="467">
        <f>M28/K28</f>
        <v>0.10721000000000001</v>
      </c>
      <c r="N29" s="386"/>
    </row>
    <row r="30" spans="1:14" ht="16" thickBot="1">
      <c r="A30" s="2" t="s">
        <v>111</v>
      </c>
      <c r="C30" s="125">
        <f>C7+C11+C14+C17+C20+C22+C27+C28+C29</f>
        <v>2338484.11</v>
      </c>
      <c r="D30" s="37"/>
      <c r="F30" s="201" t="s">
        <v>74</v>
      </c>
      <c r="G30" s="264">
        <v>3286166</v>
      </c>
      <c r="H30" s="391">
        <v>5.4000000000000001E-4</v>
      </c>
      <c r="I30" s="197">
        <f t="shared" si="0"/>
        <v>1774.52964</v>
      </c>
      <c r="J30" s="201"/>
      <c r="K30" s="231">
        <f>K28-K29</f>
        <v>0</v>
      </c>
      <c r="L30" s="183"/>
      <c r="M30" s="199"/>
    </row>
    <row r="31" spans="1:14" ht="16" thickBot="1">
      <c r="A31" s="1" t="s">
        <v>112</v>
      </c>
      <c r="C31" s="314">
        <v>-8311.81</v>
      </c>
      <c r="D31" s="39"/>
      <c r="F31" s="200" t="s">
        <v>127</v>
      </c>
      <c r="G31" s="182">
        <f>SUM(G23:G30)</f>
        <v>30094197</v>
      </c>
      <c r="H31" s="7"/>
      <c r="I31" s="198">
        <f>SUM(I23:I30)</f>
        <v>3140962.2402599999</v>
      </c>
      <c r="J31" s="153"/>
      <c r="K31" s="7"/>
      <c r="L31" s="183"/>
      <c r="M31" s="199"/>
    </row>
    <row r="32" spans="1:14" ht="16" thickTop="1">
      <c r="A32" s="2" t="s">
        <v>116</v>
      </c>
      <c r="B32" s="2" t="s">
        <v>117</v>
      </c>
      <c r="C32" s="240">
        <f>C30+C31</f>
        <v>2330172.2999999998</v>
      </c>
      <c r="D32" s="40"/>
      <c r="F32" s="187"/>
      <c r="G32" s="232">
        <v>30094197</v>
      </c>
      <c r="H32" s="188" t="s">
        <v>102</v>
      </c>
      <c r="I32" s="217">
        <f>I31/G31</f>
        <v>0.10437102675509169</v>
      </c>
      <c r="J32" s="193"/>
      <c r="K32" s="194"/>
      <c r="L32" s="7"/>
      <c r="M32" s="191"/>
    </row>
    <row r="33" spans="1:17" ht="16" thickBot="1">
      <c r="A33" s="1" t="s">
        <v>113</v>
      </c>
      <c r="C33" s="313">
        <f>-C5-C9-C13-C16-C19</f>
        <v>-163715.66</v>
      </c>
      <c r="D33" s="36"/>
      <c r="F33" s="153"/>
      <c r="G33" s="231">
        <f>G31-G32</f>
        <v>0</v>
      </c>
      <c r="H33" s="7"/>
      <c r="I33" s="98"/>
      <c r="J33" s="193"/>
      <c r="K33" s="194"/>
      <c r="L33" s="7"/>
      <c r="M33" s="98"/>
    </row>
    <row r="34" spans="1:17" ht="16" thickBot="1">
      <c r="A34" s="2" t="s">
        <v>114</v>
      </c>
      <c r="C34" s="125">
        <f>SUM(C32:C33)</f>
        <v>2166456.6399999997</v>
      </c>
      <c r="D34" s="36"/>
      <c r="F34" s="185"/>
      <c r="G34" s="12"/>
      <c r="H34" s="12"/>
      <c r="I34" s="186"/>
      <c r="J34" s="193"/>
      <c r="K34" s="192"/>
      <c r="L34" s="7"/>
      <c r="M34" s="98"/>
    </row>
    <row r="35" spans="1:17" ht="18" customHeight="1">
      <c r="A35" s="2"/>
      <c r="C35" s="101"/>
      <c r="D35" s="36"/>
      <c r="F35" s="200" t="s">
        <v>128</v>
      </c>
      <c r="G35" s="7"/>
      <c r="H35" s="7"/>
      <c r="I35" s="98"/>
      <c r="J35" s="200" t="s">
        <v>128</v>
      </c>
      <c r="K35" s="702"/>
      <c r="L35" s="702"/>
      <c r="M35" s="703"/>
    </row>
    <row r="36" spans="1:17">
      <c r="A36" s="16" t="s">
        <v>94</v>
      </c>
      <c r="B36" s="2"/>
      <c r="C36" s="100"/>
      <c r="D36" s="36"/>
      <c r="F36" s="201" t="s">
        <v>37</v>
      </c>
      <c r="G36" s="265">
        <f>G23</f>
        <v>19909674</v>
      </c>
      <c r="H36" s="391">
        <v>0.38496999999999998</v>
      </c>
      <c r="I36" s="197">
        <f t="shared" ref="I36:I42" si="2">G36*H36</f>
        <v>7664627.1997799994</v>
      </c>
      <c r="J36" s="201" t="s">
        <v>37</v>
      </c>
      <c r="K36" s="265">
        <f>K23</f>
        <v>8991869</v>
      </c>
      <c r="L36" s="391">
        <v>0.38272</v>
      </c>
      <c r="M36" s="197">
        <f t="shared" ref="M36:M42" si="3">K36*L36</f>
        <v>3441368.1036800002</v>
      </c>
      <c r="N36" s="386"/>
      <c r="P36" s="275"/>
      <c r="Q36" s="275"/>
    </row>
    <row r="37" spans="1:17">
      <c r="A37" s="7" t="s">
        <v>129</v>
      </c>
      <c r="B37" s="86" t="s">
        <v>115</v>
      </c>
      <c r="C37" s="122">
        <v>15253614.41</v>
      </c>
      <c r="D37" s="36"/>
      <c r="F37" s="201" t="s">
        <v>38</v>
      </c>
      <c r="G37" s="265">
        <f t="shared" ref="G37:G42" si="4">G24</f>
        <v>6173752</v>
      </c>
      <c r="H37" s="391">
        <v>0.38496999999999998</v>
      </c>
      <c r="I37" s="197">
        <f t="shared" si="2"/>
        <v>2376709.3074399997</v>
      </c>
      <c r="J37" s="201" t="s">
        <v>38</v>
      </c>
      <c r="K37" s="265">
        <f>K24</f>
        <v>2818068</v>
      </c>
      <c r="L37" s="391">
        <v>0.38272</v>
      </c>
      <c r="M37" s="197">
        <f t="shared" si="3"/>
        <v>1078530.98496</v>
      </c>
      <c r="N37" s="386"/>
      <c r="P37" s="275"/>
      <c r="Q37" s="275"/>
    </row>
    <row r="38" spans="1:17">
      <c r="A38" s="144" t="s">
        <v>14</v>
      </c>
      <c r="B38" s="86" t="s">
        <v>115</v>
      </c>
      <c r="C38" s="122">
        <v>0</v>
      </c>
      <c r="D38" s="36"/>
      <c r="F38" s="201" t="s">
        <v>39</v>
      </c>
      <c r="G38" s="265">
        <f t="shared" si="4"/>
        <v>0</v>
      </c>
      <c r="H38" s="391">
        <v>0.38496999999999998</v>
      </c>
      <c r="I38" s="197">
        <f t="shared" si="2"/>
        <v>0</v>
      </c>
      <c r="J38" s="201" t="s">
        <v>39</v>
      </c>
      <c r="K38" s="265">
        <f>K25</f>
        <v>2994</v>
      </c>
      <c r="L38" s="391">
        <v>0.38272</v>
      </c>
      <c r="M38" s="197">
        <f t="shared" si="3"/>
        <v>1145.8636799999999</v>
      </c>
      <c r="N38" s="386"/>
      <c r="P38" s="275"/>
      <c r="Q38" s="275"/>
    </row>
    <row r="39" spans="1:17">
      <c r="A39" s="7" t="s">
        <v>146</v>
      </c>
      <c r="B39" s="86" t="s">
        <v>147</v>
      </c>
      <c r="C39" s="122">
        <v>-33366.97</v>
      </c>
      <c r="D39" s="36"/>
      <c r="F39" s="201" t="s">
        <v>40</v>
      </c>
      <c r="G39" s="265">
        <f t="shared" si="4"/>
        <v>513680</v>
      </c>
      <c r="H39" s="391">
        <v>0.38496999999999998</v>
      </c>
      <c r="I39" s="197">
        <f t="shared" si="2"/>
        <v>197751.38959999999</v>
      </c>
      <c r="J39" s="201" t="s">
        <v>40</v>
      </c>
      <c r="K39" s="265">
        <f>K26</f>
        <v>0</v>
      </c>
      <c r="L39" s="391">
        <v>0.38272</v>
      </c>
      <c r="M39" s="197">
        <f t="shared" si="3"/>
        <v>0</v>
      </c>
      <c r="N39" s="386"/>
      <c r="P39" s="275"/>
      <c r="Q39" s="275"/>
    </row>
    <row r="40" spans="1:17">
      <c r="A40" s="7" t="s">
        <v>131</v>
      </c>
      <c r="B40" s="86" t="s">
        <v>132</v>
      </c>
      <c r="C40" s="122">
        <v>1285214.1599999999</v>
      </c>
      <c r="D40" s="36"/>
      <c r="F40" s="201" t="s">
        <v>41</v>
      </c>
      <c r="G40" s="265">
        <f t="shared" si="4"/>
        <v>81674</v>
      </c>
      <c r="H40" s="391">
        <v>0.38496999999999998</v>
      </c>
      <c r="I40" s="197">
        <f t="shared" si="2"/>
        <v>31442.039779999999</v>
      </c>
      <c r="J40" s="201" t="s">
        <v>41</v>
      </c>
      <c r="K40" s="265">
        <f>K27</f>
        <v>0</v>
      </c>
      <c r="L40" s="391">
        <v>0.38272</v>
      </c>
      <c r="M40" s="197">
        <f t="shared" si="3"/>
        <v>0</v>
      </c>
      <c r="N40" s="386"/>
      <c r="P40" s="275"/>
      <c r="Q40" s="275"/>
    </row>
    <row r="41" spans="1:17">
      <c r="A41" s="7" t="s">
        <v>153</v>
      </c>
      <c r="B41" s="6" t="s">
        <v>155</v>
      </c>
      <c r="C41" s="122">
        <v>106804.46</v>
      </c>
      <c r="D41" s="36"/>
      <c r="F41" s="201" t="s">
        <v>42</v>
      </c>
      <c r="G41" s="265">
        <f t="shared" si="4"/>
        <v>0</v>
      </c>
      <c r="H41" s="391">
        <v>0.38496999999999998</v>
      </c>
      <c r="I41" s="197">
        <f t="shared" si="2"/>
        <v>0</v>
      </c>
      <c r="J41" s="201" t="s">
        <v>42</v>
      </c>
      <c r="K41" s="264">
        <v>0</v>
      </c>
      <c r="L41" s="391">
        <v>0.38272</v>
      </c>
      <c r="M41" s="197">
        <f t="shared" si="3"/>
        <v>0</v>
      </c>
      <c r="N41" s="386"/>
      <c r="P41" s="275"/>
      <c r="Q41" s="275"/>
    </row>
    <row r="42" spans="1:17" ht="16" thickBot="1">
      <c r="A42" s="7" t="s">
        <v>179</v>
      </c>
      <c r="B42" s="230" t="s">
        <v>180</v>
      </c>
      <c r="C42" s="122">
        <v>1430856.74</v>
      </c>
      <c r="D42" s="37"/>
      <c r="F42" s="201" t="s">
        <v>43</v>
      </c>
      <c r="G42" s="265">
        <f t="shared" si="4"/>
        <v>129251</v>
      </c>
      <c r="H42" s="391">
        <v>0.38496999999999998</v>
      </c>
      <c r="I42" s="197">
        <f t="shared" si="2"/>
        <v>49757.757469999997</v>
      </c>
      <c r="J42" s="201" t="s">
        <v>43</v>
      </c>
      <c r="K42" s="266">
        <v>40458</v>
      </c>
      <c r="L42" s="391">
        <v>0.38272</v>
      </c>
      <c r="M42" s="197">
        <f t="shared" si="3"/>
        <v>15484.08576</v>
      </c>
      <c r="N42" s="386"/>
      <c r="P42" s="275"/>
      <c r="Q42" s="275"/>
    </row>
    <row r="43" spans="1:17" ht="16" thickBot="1">
      <c r="A43" s="85" t="s">
        <v>123</v>
      </c>
      <c r="B43" s="12"/>
      <c r="C43" s="125">
        <f>SUM(C37:C42)</f>
        <v>18043122.800000001</v>
      </c>
      <c r="D43" s="36"/>
      <c r="F43" s="200" t="s">
        <v>133</v>
      </c>
      <c r="G43" s="182">
        <f>SUM(G36:G42)</f>
        <v>26808031</v>
      </c>
      <c r="H43" s="183"/>
      <c r="I43" s="198">
        <f>SUM(I36:I42)</f>
        <v>10320287.69407</v>
      </c>
      <c r="J43" s="200" t="s">
        <v>133</v>
      </c>
      <c r="K43" s="182">
        <f>SUM(K36:K42)</f>
        <v>11853389</v>
      </c>
      <c r="L43" s="183"/>
      <c r="M43" s="198">
        <f>SUM(M36:M42)</f>
        <v>4536529.0380800012</v>
      </c>
    </row>
    <row r="44" spans="1:17" ht="16" thickBot="1">
      <c r="A44" s="83" t="s">
        <v>178</v>
      </c>
      <c r="B44" s="84" t="s">
        <v>120</v>
      </c>
      <c r="C44" s="242">
        <v>10302484.550000001</v>
      </c>
      <c r="D44" s="37"/>
      <c r="F44" s="189"/>
      <c r="G44" s="233">
        <v>26808031</v>
      </c>
      <c r="H44" s="190" t="s">
        <v>102</v>
      </c>
      <c r="I44" s="216">
        <f>I43/G43</f>
        <v>0.38497000000000003</v>
      </c>
      <c r="J44" s="195"/>
      <c r="K44" s="233">
        <v>11853389</v>
      </c>
      <c r="L44" s="190" t="s">
        <v>102</v>
      </c>
      <c r="M44" s="218">
        <f>M43/K43</f>
        <v>0.38272000000000012</v>
      </c>
    </row>
    <row r="45" spans="1:17">
      <c r="A45" s="212" t="s">
        <v>168</v>
      </c>
      <c r="B45" s="6" t="s">
        <v>115</v>
      </c>
      <c r="C45" s="122">
        <v>0</v>
      </c>
      <c r="D45" s="39"/>
      <c r="F45" s="38"/>
      <c r="G45" s="231">
        <f>G43-G44</f>
        <v>0</v>
      </c>
      <c r="H45" s="38"/>
      <c r="I45" s="38"/>
      <c r="J45" s="124"/>
      <c r="K45" s="231">
        <f>K43-K44</f>
        <v>0</v>
      </c>
      <c r="L45" s="38"/>
      <c r="M45" s="124"/>
    </row>
    <row r="46" spans="1:17" ht="19.5" customHeight="1" thickBot="1">
      <c r="A46" s="144" t="s">
        <v>169</v>
      </c>
      <c r="B46" s="6" t="s">
        <v>115</v>
      </c>
      <c r="C46" s="122">
        <v>0</v>
      </c>
      <c r="D46" s="40"/>
      <c r="F46" s="38"/>
      <c r="G46" s="38"/>
      <c r="H46" s="38"/>
      <c r="I46" s="38"/>
      <c r="J46" s="124"/>
      <c r="K46" s="114"/>
      <c r="L46" s="38"/>
      <c r="M46" s="68"/>
    </row>
    <row r="47" spans="1:17" ht="19.5" customHeight="1">
      <c r="A47" s="1" t="s">
        <v>137</v>
      </c>
      <c r="B47" s="6" t="s">
        <v>115</v>
      </c>
      <c r="C47" s="122">
        <v>0</v>
      </c>
      <c r="D47" s="36"/>
      <c r="F47" s="38"/>
      <c r="G47" s="114"/>
      <c r="H47" s="129" t="s">
        <v>35</v>
      </c>
      <c r="I47" s="13" t="s">
        <v>35</v>
      </c>
      <c r="J47" s="13" t="s">
        <v>63</v>
      </c>
      <c r="K47" s="127" t="s">
        <v>70</v>
      </c>
      <c r="L47" s="124"/>
      <c r="M47" s="38"/>
    </row>
    <row r="48" spans="1:17" ht="16" thickBot="1">
      <c r="A48" s="144" t="s">
        <v>222</v>
      </c>
      <c r="B48" s="6" t="s">
        <v>115</v>
      </c>
      <c r="C48" s="122">
        <v>5000</v>
      </c>
      <c r="D48" s="36"/>
      <c r="F48" s="50" t="s">
        <v>73</v>
      </c>
      <c r="G48" s="38"/>
      <c r="H48" s="130" t="s">
        <v>2</v>
      </c>
      <c r="I48" s="131" t="s">
        <v>3</v>
      </c>
      <c r="J48" s="131" t="s">
        <v>2</v>
      </c>
      <c r="K48" s="128" t="s">
        <v>3</v>
      </c>
      <c r="L48" s="38"/>
      <c r="M48" s="38"/>
    </row>
    <row r="49" spans="1:21">
      <c r="A49" s="7" t="s">
        <v>130</v>
      </c>
      <c r="B49" s="86" t="s">
        <v>152</v>
      </c>
      <c r="C49" s="122">
        <v>36623.760000000002</v>
      </c>
      <c r="D49" s="36"/>
      <c r="F49" s="38"/>
      <c r="G49" s="38"/>
      <c r="H49" s="151"/>
      <c r="I49" s="152"/>
      <c r="J49" s="152"/>
      <c r="K49" s="152"/>
      <c r="L49" s="126" t="s">
        <v>103</v>
      </c>
      <c r="M49" s="38"/>
    </row>
    <row r="50" spans="1:21">
      <c r="A50" s="7" t="s">
        <v>175</v>
      </c>
      <c r="B50" s="219" t="s">
        <v>152</v>
      </c>
      <c r="C50" s="122">
        <v>1731.65</v>
      </c>
      <c r="D50" s="37"/>
      <c r="F50" s="38" t="s">
        <v>136</v>
      </c>
      <c r="G50" s="38"/>
      <c r="H50" s="213">
        <f>K12</f>
        <v>11008969.233474001</v>
      </c>
      <c r="I50" s="115">
        <f>I14</f>
        <v>1534717.8837759998</v>
      </c>
      <c r="J50" s="115">
        <f>L12</f>
        <v>4868497.1965260003</v>
      </c>
      <c r="K50" s="115">
        <f>J14</f>
        <v>631738.75622400001</v>
      </c>
      <c r="L50" s="132">
        <f>SUM(H50:K50)</f>
        <v>18043923.07</v>
      </c>
      <c r="M50" s="38"/>
    </row>
    <row r="51" spans="1:21" ht="16" thickBot="1">
      <c r="A51" s="7" t="s">
        <v>224</v>
      </c>
      <c r="B51" s="454" t="s">
        <v>152</v>
      </c>
      <c r="C51" s="122">
        <v>4511.2700000000004</v>
      </c>
      <c r="D51" s="36"/>
      <c r="F51" s="1" t="s">
        <v>109</v>
      </c>
      <c r="H51" s="213">
        <f>-I43</f>
        <v>-10320287.69407</v>
      </c>
      <c r="I51" s="115">
        <f>-I31</f>
        <v>-3140962.2402599999</v>
      </c>
      <c r="J51" s="115">
        <f>-M43</f>
        <v>-4536529.0380800012</v>
      </c>
      <c r="K51" s="115">
        <f>-M28</f>
        <v>-1266464.3325100001</v>
      </c>
      <c r="L51" s="263">
        <f>SUM(H51:K51)</f>
        <v>-19264243.304920003</v>
      </c>
    </row>
    <row r="52" spans="1:21" ht="16" thickBot="1">
      <c r="A52" s="22" t="s">
        <v>118</v>
      </c>
      <c r="B52" s="6"/>
      <c r="C52" s="100">
        <f>-C33</f>
        <v>163715.66</v>
      </c>
      <c r="D52" s="33"/>
      <c r="F52" s="1" t="s">
        <v>86</v>
      </c>
      <c r="H52" s="235">
        <v>0</v>
      </c>
      <c r="I52" s="236">
        <v>0</v>
      </c>
      <c r="J52" s="236">
        <v>0</v>
      </c>
      <c r="K52" s="237">
        <v>0</v>
      </c>
      <c r="L52" s="215">
        <f>SUM(L50:L51)</f>
        <v>-1220320.2349200025</v>
      </c>
    </row>
    <row r="53" spans="1:21" ht="16" thickBot="1">
      <c r="A53" s="384" t="s">
        <v>124</v>
      </c>
      <c r="B53" s="475"/>
      <c r="C53" s="314">
        <v>-12472281.58</v>
      </c>
      <c r="D53" s="36"/>
      <c r="F53" s="1" t="s">
        <v>71</v>
      </c>
      <c r="H53" s="125">
        <f>H50+H51+H52</f>
        <v>688681.53940400109</v>
      </c>
      <c r="I53" s="125">
        <f>I50+I51+I52</f>
        <v>-1606244.3564840001</v>
      </c>
      <c r="J53" s="125">
        <f>J50+J51+J52</f>
        <v>331968.15844599903</v>
      </c>
      <c r="K53" s="125">
        <f>K50+K51+K52</f>
        <v>-634725.57628600008</v>
      </c>
      <c r="L53" s="47">
        <f>SUM(H53:K53)</f>
        <v>-1220320.2349200002</v>
      </c>
    </row>
    <row r="54" spans="1:21" ht="16" thickBot="1">
      <c r="A54" s="1" t="s">
        <v>191</v>
      </c>
      <c r="B54" s="6" t="s">
        <v>192</v>
      </c>
      <c r="C54" s="122">
        <v>-375000</v>
      </c>
      <c r="D54" s="36"/>
      <c r="F54" s="241" t="s">
        <v>182</v>
      </c>
      <c r="H54" s="1" t="s">
        <v>173</v>
      </c>
      <c r="I54" s="5">
        <f>SUM(H53:I53)</f>
        <v>-917562.81707999902</v>
      </c>
      <c r="J54" s="15" t="s">
        <v>174</v>
      </c>
      <c r="K54" s="1">
        <f>SUM(J53:K53)</f>
        <v>-302757.41784000106</v>
      </c>
      <c r="L54" s="214">
        <f>ROUND(L52-L53,3)</f>
        <v>0</v>
      </c>
    </row>
    <row r="55" spans="1:21" ht="16.5" thickTop="1" thickBot="1">
      <c r="A55" s="82" t="s">
        <v>119</v>
      </c>
      <c r="B55" s="84"/>
      <c r="C55" s="160">
        <f>SUM(C43:C54)</f>
        <v>15709908.110000001</v>
      </c>
      <c r="D55" s="36"/>
      <c r="F55" s="399" t="s">
        <v>182</v>
      </c>
      <c r="H55" s="96"/>
    </row>
    <row r="56" spans="1:21" ht="16.5" thickTop="1" thickBot="1">
      <c r="A56" s="1" t="s">
        <v>121</v>
      </c>
      <c r="B56" s="6" t="s">
        <v>115</v>
      </c>
      <c r="C56" s="122">
        <v>115718.95</v>
      </c>
      <c r="D56" s="36"/>
      <c r="F56" s="399" t="s">
        <v>183</v>
      </c>
      <c r="H56" s="157"/>
      <c r="I56" s="120"/>
      <c r="J56" s="120"/>
      <c r="K56" s="205"/>
      <c r="L56" s="120"/>
      <c r="T56" s="42"/>
    </row>
    <row r="57" spans="1:21">
      <c r="A57" s="1" t="s">
        <v>122</v>
      </c>
      <c r="B57" s="6" t="s">
        <v>115</v>
      </c>
      <c r="C57" s="122">
        <v>51839.37</v>
      </c>
      <c r="D57" s="36"/>
      <c r="F57" s="551" t="s">
        <v>323</v>
      </c>
      <c r="G57" s="552" t="str">
        <f>IF(OR(AND(I54&gt;0,K54&gt;0),AND(I54&lt;0,K54&lt;0)),"OK","ERROR")</f>
        <v>OK</v>
      </c>
      <c r="H57" s="388" t="s">
        <v>314</v>
      </c>
      <c r="I57" s="389"/>
    </row>
    <row r="58" spans="1:21" ht="16" thickBot="1">
      <c r="A58" s="2" t="s">
        <v>125</v>
      </c>
      <c r="B58" s="2"/>
      <c r="C58" s="160">
        <f>SUM(C55:C57)</f>
        <v>15877466.43</v>
      </c>
      <c r="D58" s="36"/>
      <c r="H58" s="320" t="s">
        <v>176</v>
      </c>
      <c r="I58" s="321" t="s">
        <v>177</v>
      </c>
      <c r="J58" s="5"/>
    </row>
    <row r="59" spans="1:21" ht="16.5" thickTop="1" thickBot="1">
      <c r="A59" s="2"/>
      <c r="C59" s="101"/>
      <c r="D59" s="36"/>
      <c r="H59" s="351">
        <f>SUM('WA - Def-Amtz'!AL5:AL10,'WA - Def-Amtz'!AL41:AL46,'WA - Def-Amtz'!AL76:AL79,'ID - Def-Amtz '!AL5:AL10,'ID - Def-Amtz '!AL42:AL47,'ID - Def-Amtz '!AL75:AL80)</f>
        <v>7890436.3542569289</v>
      </c>
      <c r="I59" s="451">
        <f>SUM('WA - Def-Amtz'!AM5:AM10,'WA - Def-Amtz'!AM41:AM46,'WA - Def-Amtz'!AM76:AM79,'ID - Def-Amtz '!AM5:AM10,'ID - Def-Amtz '!AM42:AM47,'ID - Def-Amtz '!AM75:AM80)</f>
        <v>7890436.3542569289</v>
      </c>
      <c r="J59" s="1">
        <f>H51+I51+J51+K51</f>
        <v>-19264243.304920003</v>
      </c>
    </row>
    <row r="60" spans="1:21" ht="16" thickBot="1">
      <c r="A60" s="9"/>
      <c r="B60" s="9" t="s">
        <v>95</v>
      </c>
      <c r="C60" s="125">
        <f>C58+C34</f>
        <v>18043923.07</v>
      </c>
      <c r="D60" s="36"/>
      <c r="G60" s="5"/>
      <c r="I60" s="135">
        <f>H59-I59</f>
        <v>0</v>
      </c>
    </row>
    <row r="61" spans="1:21">
      <c r="A61" s="2"/>
      <c r="B61" s="9" t="s">
        <v>160</v>
      </c>
      <c r="C61" s="352">
        <v>18043923.07</v>
      </c>
      <c r="D61" s="37"/>
      <c r="G61" s="386"/>
      <c r="H61" s="386"/>
      <c r="I61" s="386"/>
      <c r="J61" s="386"/>
    </row>
    <row r="62" spans="1:21">
      <c r="A62" s="9"/>
      <c r="B62" s="9" t="s">
        <v>159</v>
      </c>
      <c r="C62" s="259">
        <f>ROUND(C60-C61,2)</f>
        <v>0</v>
      </c>
      <c r="G62" s="386"/>
      <c r="H62" s="386"/>
      <c r="I62" s="386"/>
      <c r="J62" s="386"/>
      <c r="N62" s="5"/>
      <c r="O62" s="5"/>
      <c r="P62" s="21"/>
    </row>
    <row r="63" spans="1:21">
      <c r="A63" s="44"/>
      <c r="C63" s="353"/>
      <c r="D63" s="36"/>
      <c r="G63" s="386"/>
      <c r="H63" s="386"/>
      <c r="I63" s="386"/>
      <c r="J63" s="386"/>
      <c r="S63" s="6"/>
    </row>
    <row r="64" spans="1:21">
      <c r="A64" s="44"/>
      <c r="C64" s="8"/>
      <c r="D64" s="43"/>
      <c r="G64" s="386"/>
      <c r="H64" s="96"/>
      <c r="I64" s="386"/>
      <c r="J64" s="386"/>
      <c r="N64" s="22"/>
      <c r="U64" s="2"/>
    </row>
    <row r="65" spans="1:21">
      <c r="A65" s="2"/>
      <c r="C65" s="8"/>
      <c r="D65" s="36"/>
      <c r="G65" s="386"/>
      <c r="H65" s="386"/>
      <c r="I65" s="386"/>
      <c r="J65" s="386"/>
      <c r="N65" s="22"/>
      <c r="S65" s="23"/>
    </row>
    <row r="66" spans="1:21">
      <c r="C66" s="100"/>
      <c r="D66" s="36"/>
      <c r="G66" s="386"/>
      <c r="H66" s="386"/>
      <c r="I66" s="386"/>
      <c r="J66" s="386"/>
      <c r="N66" s="22"/>
      <c r="S66" s="24"/>
    </row>
    <row r="67" spans="1:21">
      <c r="D67" s="36"/>
      <c r="G67" s="386"/>
      <c r="H67" s="386"/>
      <c r="I67" s="386"/>
      <c r="J67" s="386"/>
      <c r="N67" s="22"/>
      <c r="S67" s="25"/>
    </row>
    <row r="68" spans="1:21">
      <c r="D68" s="36"/>
      <c r="G68" s="386"/>
      <c r="H68" s="386"/>
      <c r="I68" s="386"/>
      <c r="J68" s="386"/>
      <c r="N68" s="22"/>
      <c r="S68" s="24"/>
    </row>
    <row r="69" spans="1:21">
      <c r="D69" s="37"/>
      <c r="G69" s="386"/>
      <c r="H69" s="386"/>
      <c r="I69" s="386"/>
      <c r="J69" s="386"/>
      <c r="N69" s="22"/>
    </row>
    <row r="70" spans="1:21">
      <c r="D70" s="36"/>
      <c r="G70" s="386"/>
      <c r="H70" s="386"/>
      <c r="I70" s="386"/>
      <c r="J70" s="38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1">
        <v>-2130</v>
      </c>
    </row>
    <row r="1484" spans="3:3">
      <c r="C1484" s="1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2 L54 I60">
    <cfRule type="cellIs" dxfId="775" priority="27" stopIfTrue="1" operator="equal">
      <formula>0</formula>
    </cfRule>
    <cfRule type="cellIs" dxfId="774" priority="28" stopIfTrue="1" operator="notEqual">
      <formula>0</formula>
    </cfRule>
  </conditionalFormatting>
  <conditionalFormatting sqref="G33 G45 K30 K45">
    <cfRule type="cellIs" dxfId="773" priority="20" operator="notEqual">
      <formula>0</formula>
    </cfRule>
  </conditionalFormatting>
  <conditionalFormatting sqref="C62">
    <cfRule type="cellIs" dxfId="772" priority="14" stopIfTrue="1" operator="equal">
      <formula>0</formula>
    </cfRule>
    <cfRule type="cellIs" dxfId="771" priority="15" stopIfTrue="1" operator="notEqual">
      <formula>0</formula>
    </cfRule>
  </conditionalFormatting>
  <conditionalFormatting sqref="K30">
    <cfRule type="cellIs" dxfId="770" priority="13" operator="notEqual">
      <formula>0</formula>
    </cfRule>
  </conditionalFormatting>
  <conditionalFormatting sqref="G57">
    <cfRule type="cellIs" dxfId="769" priority="2" operator="equal">
      <formula>"ERROR"</formula>
    </cfRule>
  </conditionalFormatting>
  <conditionalFormatting sqref="G57">
    <cfRule type="cellIs" dxfId="768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7">
    <tabColor rgb="FF00CC66"/>
    <pageSetUpPr fitToPage="1"/>
  </sheetPr>
  <dimension ref="A1:U1484"/>
  <sheetViews>
    <sheetView showGridLines="0" zoomScaleNormal="100" workbookViewId="0">
      <selection activeCell="C30" sqref="C30"/>
    </sheetView>
  </sheetViews>
  <sheetFormatPr defaultColWidth="16" defaultRowHeight="15.5"/>
  <cols>
    <col min="1" max="1" width="44.8984375" style="386" customWidth="1"/>
    <col min="2" max="2" width="25.59765625" style="386" customWidth="1"/>
    <col min="3" max="3" width="25.296875" style="386" customWidth="1"/>
    <col min="4" max="4" width="2.69921875" style="30" customWidth="1"/>
    <col min="5" max="5" width="4.296875" style="386" customWidth="1"/>
    <col min="6" max="6" width="26.69921875" style="386" customWidth="1"/>
    <col min="7" max="7" width="19" style="386" customWidth="1"/>
    <col min="8" max="8" width="22" style="386" customWidth="1"/>
    <col min="9" max="9" width="20.3984375" style="386" customWidth="1"/>
    <col min="10" max="10" width="26.296875" style="386" customWidth="1"/>
    <col min="11" max="11" width="21.8984375" style="386" bestFit="1" customWidth="1"/>
    <col min="12" max="12" width="23.8984375" style="386" customWidth="1"/>
    <col min="13" max="13" width="20.8984375" style="386" bestFit="1" customWidth="1"/>
    <col min="14" max="14" width="16" style="386"/>
    <col min="15" max="16" width="16.296875" style="386" bestFit="1" customWidth="1"/>
    <col min="17" max="16384" width="16" style="386"/>
  </cols>
  <sheetData>
    <row r="1" spans="1:13" ht="16" thickBot="1">
      <c r="A1" s="145" t="s">
        <v>64</v>
      </c>
      <c r="B1" s="29"/>
      <c r="C1" s="534">
        <f>Jan!C1+1</f>
        <v>201502</v>
      </c>
      <c r="F1" s="534">
        <f>C1</f>
        <v>201502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>
      <c r="A4" s="387" t="s">
        <v>88</v>
      </c>
      <c r="C4" s="314">
        <f>4153143.02</f>
        <v>4153143.02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106161.72</v>
      </c>
      <c r="D5" s="34"/>
      <c r="F5" s="387"/>
      <c r="G5" s="387"/>
      <c r="H5" s="11"/>
      <c r="I5" s="166">
        <v>0.70269999999999999</v>
      </c>
      <c r="J5" s="166">
        <f>1-I5</f>
        <v>0.29730000000000001</v>
      </c>
      <c r="K5" s="447">
        <f>ROUND(G43/(G43+K43),4)</f>
        <v>0.70720000000000005</v>
      </c>
      <c r="L5" s="447">
        <f>1-K5</f>
        <v>0.29279999999999995</v>
      </c>
      <c r="M5" s="387"/>
    </row>
    <row r="6" spans="1:13" ht="16" thickBot="1">
      <c r="A6" s="49" t="s">
        <v>30</v>
      </c>
      <c r="C6" s="315">
        <f>-(2116315.04+436240+66698.8+114800+129150+74046+16800+92482.88)</f>
        <v>-3046532.7199999997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" thickBot="1">
      <c r="A7" s="66" t="s">
        <v>140</v>
      </c>
      <c r="C7" s="100">
        <f>SUM(C4:C6)</f>
        <v>1212772.0200000005</v>
      </c>
      <c r="D7" s="35"/>
      <c r="F7" s="167" t="s">
        <v>139</v>
      </c>
      <c r="G7" s="167"/>
      <c r="H7" s="125">
        <f>C34</f>
        <v>2173798.0300000007</v>
      </c>
      <c r="I7" s="168">
        <f>H7*I5</f>
        <v>1527527.8756810005</v>
      </c>
      <c r="J7" s="168">
        <f>H7*J5</f>
        <v>646270.1543190002</v>
      </c>
      <c r="K7" s="168"/>
      <c r="L7" s="168"/>
      <c r="M7" s="387"/>
    </row>
    <row r="8" spans="1:13">
      <c r="A8" s="386" t="s">
        <v>89</v>
      </c>
      <c r="C8" s="314">
        <f>350787.25</f>
        <v>350787.25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>
      <c r="A9" s="387" t="s">
        <v>90</v>
      </c>
      <c r="C9" s="314">
        <v>11340.36</v>
      </c>
      <c r="D9" s="36"/>
      <c r="F9" s="167" t="s">
        <v>119</v>
      </c>
      <c r="G9" s="387"/>
      <c r="H9" s="168" t="e">
        <f>C55</f>
        <v>#REF!</v>
      </c>
      <c r="I9" s="168"/>
      <c r="J9" s="168"/>
      <c r="K9" s="168" t="e">
        <f>H9*K5</f>
        <v>#REF!</v>
      </c>
      <c r="L9" s="168" t="e">
        <f>H9*L5</f>
        <v>#REF!</v>
      </c>
      <c r="M9" s="387"/>
    </row>
    <row r="10" spans="1:13">
      <c r="A10" s="49" t="s">
        <v>91</v>
      </c>
      <c r="C10" s="315">
        <v>-3142.71</v>
      </c>
      <c r="D10" s="36"/>
      <c r="F10" s="170" t="s">
        <v>44</v>
      </c>
      <c r="G10" s="387"/>
      <c r="H10" s="168">
        <f>C56</f>
        <v>-18342.82</v>
      </c>
      <c r="I10" s="168"/>
      <c r="J10" s="168"/>
      <c r="K10" s="168">
        <f>H10</f>
        <v>-18342.82</v>
      </c>
      <c r="L10" s="168"/>
      <c r="M10" s="387"/>
    </row>
    <row r="11" spans="1:13">
      <c r="A11" s="66" t="s">
        <v>145</v>
      </c>
      <c r="C11" s="100">
        <f>SUM(C8:C10)</f>
        <v>358984.89999999997</v>
      </c>
      <c r="D11" s="36"/>
      <c r="F11" s="170" t="s">
        <v>45</v>
      </c>
      <c r="G11" s="387"/>
      <c r="H11" s="171">
        <f>C57</f>
        <v>-7543.57</v>
      </c>
      <c r="I11" s="168"/>
      <c r="J11" s="168"/>
      <c r="K11" s="171"/>
      <c r="L11" s="171">
        <f>H11</f>
        <v>-7543.57</v>
      </c>
      <c r="M11" s="387"/>
    </row>
    <row r="12" spans="1:13">
      <c r="A12" s="386" t="s">
        <v>165</v>
      </c>
      <c r="C12" s="314">
        <f>222133.65+2250.45</f>
        <v>224384.1</v>
      </c>
      <c r="D12" s="36"/>
      <c r="F12" s="170" t="s">
        <v>138</v>
      </c>
      <c r="G12" s="387"/>
      <c r="H12" s="168" t="e">
        <f>H9+H10+H11</f>
        <v>#REF!</v>
      </c>
      <c r="I12" s="168"/>
      <c r="J12" s="168"/>
      <c r="K12" s="168" t="e">
        <f>SUM(K9:K11)</f>
        <v>#REF!</v>
      </c>
      <c r="L12" s="168" t="e">
        <f>SUM(L9:L11)</f>
        <v>#REF!</v>
      </c>
      <c r="M12" s="387"/>
    </row>
    <row r="13" spans="1:13" ht="16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" thickBot="1">
      <c r="A14" s="66" t="s">
        <v>92</v>
      </c>
      <c r="C14" s="100">
        <f>SUM(C12:C13)</f>
        <v>224384.1</v>
      </c>
      <c r="D14" s="37"/>
      <c r="F14" s="50" t="s">
        <v>69</v>
      </c>
      <c r="G14" s="176"/>
      <c r="H14" s="125" t="e">
        <f>H12+H7</f>
        <v>#REF!</v>
      </c>
      <c r="I14" s="177">
        <f>SUM(I7:I13)</f>
        <v>1527527.8756810005</v>
      </c>
      <c r="J14" s="177">
        <f>SUM(J7:J13)</f>
        <v>646270.1543190002</v>
      </c>
      <c r="K14" s="177" t="e">
        <f>K12</f>
        <v>#REF!</v>
      </c>
      <c r="L14" s="177" t="e">
        <f>L12</f>
        <v>#REF!</v>
      </c>
      <c r="M14" s="387"/>
    </row>
    <row r="15" spans="1:13">
      <c r="A15" s="386" t="s">
        <v>184</v>
      </c>
      <c r="C15" s="314">
        <f>418624.19+3852.28</f>
        <v>422476.47000000003</v>
      </c>
      <c r="D15" s="36"/>
      <c r="F15" s="172"/>
      <c r="G15" s="173" t="s">
        <v>102</v>
      </c>
      <c r="H15" s="174" t="e">
        <f>H14-C60</f>
        <v>#REF!</v>
      </c>
      <c r="I15" s="178"/>
      <c r="J15" s="174">
        <f>J7+I7-H7</f>
        <v>0</v>
      </c>
      <c r="K15" s="387"/>
      <c r="L15" s="174" t="e">
        <f>H12-K14-L14</f>
        <v>#REF!</v>
      </c>
      <c r="M15" s="387"/>
    </row>
    <row r="16" spans="1:1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6" thickBot="1">
      <c r="A17" s="66" t="s">
        <v>186</v>
      </c>
      <c r="C17" s="100">
        <f>SUM(C15:C16)</f>
        <v>422476.47000000003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" thickBot="1">
      <c r="A18" s="386" t="s">
        <v>163</v>
      </c>
      <c r="C18" s="314">
        <f>73815.25+703.98+6475.14</f>
        <v>80994.37</v>
      </c>
      <c r="D18" s="36"/>
      <c r="F18" s="704" t="s">
        <v>134</v>
      </c>
      <c r="G18" s="705"/>
      <c r="H18" s="705"/>
      <c r="I18" s="706"/>
      <c r="J18" s="704" t="s">
        <v>135</v>
      </c>
      <c r="K18" s="705"/>
      <c r="L18" s="705"/>
      <c r="M18" s="706"/>
    </row>
    <row r="19" spans="1:13">
      <c r="A19" s="46" t="s">
        <v>164</v>
      </c>
      <c r="C19" s="315">
        <f>25398.1</f>
        <v>25398.1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" thickBot="1">
      <c r="A20" s="67" t="s">
        <v>93</v>
      </c>
      <c r="C20" s="100">
        <f>SUM(C18:C19)</f>
        <v>106392.47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>
      <c r="A23" s="209" t="s">
        <v>181</v>
      </c>
      <c r="C23" s="100">
        <v>0</v>
      </c>
      <c r="D23" s="36"/>
      <c r="F23" s="201" t="s">
        <v>37</v>
      </c>
      <c r="G23" s="264">
        <v>13011547</v>
      </c>
      <c r="H23" s="391">
        <v>0.1183</v>
      </c>
      <c r="I23" s="197">
        <f t="shared" ref="I23:I30" si="0">G23*H23</f>
        <v>1539266.0101000001</v>
      </c>
      <c r="J23" s="201" t="s">
        <v>37</v>
      </c>
      <c r="K23" s="264">
        <v>5607449</v>
      </c>
      <c r="L23" s="391">
        <v>0.10721</v>
      </c>
      <c r="M23" s="197">
        <f>K23*L23</f>
        <v>601174.60728999996</v>
      </c>
    </row>
    <row r="24" spans="1:13">
      <c r="A24" s="209" t="s">
        <v>187</v>
      </c>
      <c r="C24" s="314">
        <v>0</v>
      </c>
      <c r="D24" s="36"/>
      <c r="F24" s="201" t="s">
        <v>38</v>
      </c>
      <c r="G24" s="264">
        <v>5630395</v>
      </c>
      <c r="H24" s="391">
        <v>0.11607000000000001</v>
      </c>
      <c r="I24" s="197">
        <f t="shared" si="0"/>
        <v>653519.94764999999</v>
      </c>
      <c r="J24" s="201" t="s">
        <v>38</v>
      </c>
      <c r="K24" s="264">
        <v>2333245</v>
      </c>
      <c r="L24" s="391">
        <v>0.10721</v>
      </c>
      <c r="M24" s="197">
        <f t="shared" ref="M24:M27" si="1">K24*L24</f>
        <v>250147.19644999999</v>
      </c>
    </row>
    <row r="25" spans="1:13">
      <c r="A25" s="209" t="s">
        <v>190</v>
      </c>
      <c r="C25" s="316">
        <v>0</v>
      </c>
      <c r="D25" s="36"/>
      <c r="F25" s="201" t="s">
        <v>39</v>
      </c>
      <c r="G25" s="264"/>
      <c r="H25" s="391">
        <v>0.11607000000000001</v>
      </c>
      <c r="I25" s="197">
        <f t="shared" si="0"/>
        <v>0</v>
      </c>
      <c r="J25" s="201" t="s">
        <v>39</v>
      </c>
      <c r="K25" s="264">
        <v>1973</v>
      </c>
      <c r="L25" s="391">
        <v>0.10721</v>
      </c>
      <c r="M25" s="197">
        <f t="shared" si="1"/>
        <v>211.52533</v>
      </c>
    </row>
    <row r="26" spans="1:13">
      <c r="A26" s="210" t="s">
        <v>189</v>
      </c>
      <c r="C26" s="317">
        <v>0</v>
      </c>
      <c r="D26" s="36"/>
      <c r="F26" s="201" t="s">
        <v>40</v>
      </c>
      <c r="G26" s="264">
        <v>431734</v>
      </c>
      <c r="H26" s="391">
        <v>9.783E-2</v>
      </c>
      <c r="I26" s="197">
        <f t="shared" si="0"/>
        <v>42236.537219999998</v>
      </c>
      <c r="J26" s="201" t="s">
        <v>40</v>
      </c>
      <c r="K26" s="264"/>
      <c r="L26" s="391">
        <v>0.10721</v>
      </c>
      <c r="M26" s="197">
        <f t="shared" si="1"/>
        <v>0</v>
      </c>
    </row>
    <row r="27" spans="1:13">
      <c r="A27" s="65" t="s">
        <v>96</v>
      </c>
      <c r="C27" s="100">
        <f>SUM(C23:C26)</f>
        <v>0</v>
      </c>
      <c r="D27" s="36"/>
      <c r="F27" s="201" t="s">
        <v>41</v>
      </c>
      <c r="G27" s="264">
        <v>68846</v>
      </c>
      <c r="H27" s="391">
        <v>9.783E-2</v>
      </c>
      <c r="I27" s="197">
        <f t="shared" si="0"/>
        <v>6735.2041799999997</v>
      </c>
      <c r="J27" s="201" t="s">
        <v>41</v>
      </c>
      <c r="K27" s="264">
        <v>0</v>
      </c>
      <c r="L27" s="391">
        <v>0.10721</v>
      </c>
      <c r="M27" s="197">
        <f t="shared" si="1"/>
        <v>0</v>
      </c>
    </row>
    <row r="28" spans="1:13" ht="16" thickBot="1">
      <c r="A28" s="211" t="s">
        <v>150</v>
      </c>
      <c r="C28" s="314">
        <v>0</v>
      </c>
      <c r="D28" s="37"/>
      <c r="F28" s="201" t="s">
        <v>42</v>
      </c>
      <c r="G28" s="264"/>
      <c r="H28" s="391">
        <v>6.9959999999999994E-2</v>
      </c>
      <c r="I28" s="197">
        <f t="shared" si="0"/>
        <v>0</v>
      </c>
      <c r="J28" s="200" t="s">
        <v>127</v>
      </c>
      <c r="K28" s="182">
        <f>SUM(K23:K27)</f>
        <v>7942667</v>
      </c>
      <c r="L28" s="183"/>
      <c r="M28" s="198">
        <f>SUM(M23:M27)</f>
        <v>851533.32906999986</v>
      </c>
    </row>
    <row r="29" spans="1:13" ht="16.5" thickTop="1" thickBot="1">
      <c r="A29" s="211" t="s">
        <v>167</v>
      </c>
      <c r="B29" s="387"/>
      <c r="C29" s="314">
        <v>0</v>
      </c>
      <c r="D29" s="36"/>
      <c r="F29" s="201" t="s">
        <v>43</v>
      </c>
      <c r="G29" s="264">
        <v>123377</v>
      </c>
      <c r="H29" s="391">
        <v>6.9959999999999994E-2</v>
      </c>
      <c r="I29" s="197">
        <f t="shared" si="0"/>
        <v>8631.4549200000001</v>
      </c>
      <c r="J29" s="200"/>
      <c r="K29" s="232">
        <v>7942667</v>
      </c>
      <c r="L29" s="188" t="s">
        <v>102</v>
      </c>
      <c r="M29" s="467">
        <f>M28/K28</f>
        <v>0.10720999999999999</v>
      </c>
    </row>
    <row r="30" spans="1:13" ht="16" thickBot="1">
      <c r="A30" s="2" t="s">
        <v>111</v>
      </c>
      <c r="C30" s="125">
        <f>C7+C11+C14+C17+C20+C22+C27+C28+C29</f>
        <v>2325009.9600000009</v>
      </c>
      <c r="D30" s="37"/>
      <c r="F30" s="201" t="s">
        <v>74</v>
      </c>
      <c r="G30" s="264">
        <v>2735718</v>
      </c>
      <c r="H30" s="391">
        <v>5.4000000000000001E-4</v>
      </c>
      <c r="I30" s="197">
        <f t="shared" si="0"/>
        <v>1477.28772</v>
      </c>
      <c r="J30" s="201"/>
      <c r="K30" s="231">
        <f>K28-K29</f>
        <v>0</v>
      </c>
      <c r="L30" s="183"/>
      <c r="M30" s="199"/>
    </row>
    <row r="31" spans="1:13" ht="16" thickBot="1">
      <c r="A31" s="386" t="s">
        <v>112</v>
      </c>
      <c r="C31" s="314">
        <v>-8311.75</v>
      </c>
      <c r="D31" s="39"/>
      <c r="F31" s="200" t="s">
        <v>127</v>
      </c>
      <c r="G31" s="182">
        <f>SUM(G23:G30)</f>
        <v>22001617</v>
      </c>
      <c r="H31" s="7"/>
      <c r="I31" s="198">
        <f>SUM(I23:I30)</f>
        <v>2251866.4417899996</v>
      </c>
      <c r="J31" s="153"/>
      <c r="K31" s="7"/>
      <c r="L31" s="183"/>
      <c r="M31" s="199"/>
    </row>
    <row r="32" spans="1:13" ht="16" thickTop="1">
      <c r="A32" s="2" t="s">
        <v>116</v>
      </c>
      <c r="B32" s="2" t="s">
        <v>117</v>
      </c>
      <c r="C32" s="240">
        <f>C30+C31</f>
        <v>2316698.2100000009</v>
      </c>
      <c r="D32" s="40"/>
      <c r="F32" s="187"/>
      <c r="G32" s="232">
        <v>22001617</v>
      </c>
      <c r="H32" s="188" t="s">
        <v>102</v>
      </c>
      <c r="I32" s="217">
        <f>I31/G31</f>
        <v>0.10235004280776271</v>
      </c>
      <c r="J32" s="193"/>
      <c r="K32" s="194"/>
      <c r="L32" s="7"/>
      <c r="M32" s="191"/>
    </row>
    <row r="33" spans="1:17" ht="16" thickBot="1">
      <c r="A33" s="386" t="s">
        <v>113</v>
      </c>
      <c r="C33" s="313">
        <f>-C5-C9-C13-C16-C19</f>
        <v>-142900.18</v>
      </c>
      <c r="D33" s="36"/>
      <c r="F33" s="153"/>
      <c r="G33" s="231">
        <f>G31-G32</f>
        <v>0</v>
      </c>
      <c r="H33" s="7"/>
      <c r="I33" s="98"/>
      <c r="J33" s="193"/>
      <c r="K33" s="194"/>
      <c r="L33" s="7"/>
      <c r="M33" s="98"/>
    </row>
    <row r="34" spans="1:17" ht="16" thickBot="1">
      <c r="A34" s="2" t="s">
        <v>114</v>
      </c>
      <c r="C34" s="125">
        <f>SUM(C32:C33)</f>
        <v>2173798.0300000007</v>
      </c>
      <c r="D34" s="36"/>
      <c r="F34" s="185"/>
      <c r="G34" s="12"/>
      <c r="H34" s="12"/>
      <c r="I34" s="186"/>
      <c r="J34" s="193"/>
      <c r="K34" s="192"/>
      <c r="L34" s="7"/>
      <c r="M34" s="98"/>
    </row>
    <row r="35" spans="1:17" ht="18" customHeight="1">
      <c r="A35" s="2"/>
      <c r="C35" s="101"/>
      <c r="D35" s="36"/>
      <c r="F35" s="200" t="s">
        <v>128</v>
      </c>
      <c r="G35" s="7"/>
      <c r="H35" s="7"/>
      <c r="I35" s="98"/>
      <c r="J35" s="200" t="s">
        <v>128</v>
      </c>
      <c r="K35" s="702"/>
      <c r="L35" s="702"/>
      <c r="M35" s="703"/>
    </row>
    <row r="36" spans="1:17">
      <c r="A36" s="16" t="s">
        <v>94</v>
      </c>
      <c r="B36" s="2"/>
      <c r="C36" s="100"/>
      <c r="D36" s="36"/>
      <c r="F36" s="201" t="s">
        <v>37</v>
      </c>
      <c r="G36" s="265">
        <f>G23</f>
        <v>13011547</v>
      </c>
      <c r="H36" s="391">
        <v>0.38496999999999998</v>
      </c>
      <c r="I36" s="197">
        <f t="shared" ref="I36:I42" si="2">G36*H36</f>
        <v>5009055.24859</v>
      </c>
      <c r="J36" s="201" t="s">
        <v>37</v>
      </c>
      <c r="K36" s="265">
        <f>K23</f>
        <v>5607449</v>
      </c>
      <c r="L36" s="391">
        <v>0.38272</v>
      </c>
      <c r="M36" s="197">
        <f t="shared" ref="M36:M42" si="3">K36*L36</f>
        <v>2146082.8812799999</v>
      </c>
      <c r="P36" s="275"/>
      <c r="Q36" s="275"/>
    </row>
    <row r="37" spans="1:17">
      <c r="A37" s="7" t="s">
        <v>129</v>
      </c>
      <c r="B37" s="540" t="s">
        <v>115</v>
      </c>
      <c r="C37" s="122" t="e">
        <f>'[1]Feb 15'!$C$16</f>
        <v>#REF!</v>
      </c>
      <c r="D37" s="36"/>
      <c r="F37" s="201" t="s">
        <v>38</v>
      </c>
      <c r="G37" s="265">
        <f t="shared" ref="G37:G42" si="4">G24</f>
        <v>5630395</v>
      </c>
      <c r="H37" s="391">
        <v>0.38496999999999998</v>
      </c>
      <c r="I37" s="197">
        <f t="shared" si="2"/>
        <v>2167533.1631499999</v>
      </c>
      <c r="J37" s="201" t="s">
        <v>38</v>
      </c>
      <c r="K37" s="265">
        <f>K24</f>
        <v>2333245</v>
      </c>
      <c r="L37" s="391">
        <v>0.38272</v>
      </c>
      <c r="M37" s="197">
        <f t="shared" si="3"/>
        <v>892979.52639999997</v>
      </c>
      <c r="P37" s="275"/>
      <c r="Q37" s="275"/>
    </row>
    <row r="38" spans="1:17">
      <c r="A38" s="144" t="s">
        <v>14</v>
      </c>
      <c r="B38" s="540" t="s">
        <v>115</v>
      </c>
      <c r="C38" s="122">
        <v>0</v>
      </c>
      <c r="D38" s="36"/>
      <c r="F38" s="201" t="s">
        <v>39</v>
      </c>
      <c r="G38" s="265">
        <f t="shared" si="4"/>
        <v>0</v>
      </c>
      <c r="H38" s="391">
        <v>0.38496999999999998</v>
      </c>
      <c r="I38" s="197">
        <f t="shared" si="2"/>
        <v>0</v>
      </c>
      <c r="J38" s="201" t="s">
        <v>39</v>
      </c>
      <c r="K38" s="265">
        <f>K25</f>
        <v>1973</v>
      </c>
      <c r="L38" s="391">
        <v>0.38272</v>
      </c>
      <c r="M38" s="197">
        <f t="shared" si="3"/>
        <v>755.10656000000006</v>
      </c>
      <c r="P38" s="275"/>
      <c r="Q38" s="275"/>
    </row>
    <row r="39" spans="1:17">
      <c r="A39" s="7" t="s">
        <v>146</v>
      </c>
      <c r="B39" s="540" t="s">
        <v>147</v>
      </c>
      <c r="C39" s="122" t="e">
        <f>'[1]Feb 15'!$C$22</f>
        <v>#REF!</v>
      </c>
      <c r="D39" s="36"/>
      <c r="F39" s="201" t="s">
        <v>40</v>
      </c>
      <c r="G39" s="265">
        <f t="shared" si="4"/>
        <v>431734</v>
      </c>
      <c r="H39" s="391">
        <v>0.38496999999999998</v>
      </c>
      <c r="I39" s="197">
        <f t="shared" si="2"/>
        <v>166204.63798</v>
      </c>
      <c r="J39" s="201" t="s">
        <v>40</v>
      </c>
      <c r="K39" s="265">
        <f>K26</f>
        <v>0</v>
      </c>
      <c r="L39" s="391">
        <v>0.38272</v>
      </c>
      <c r="M39" s="197">
        <f t="shared" si="3"/>
        <v>0</v>
      </c>
      <c r="P39" s="275"/>
      <c r="Q39" s="275"/>
    </row>
    <row r="40" spans="1:17">
      <c r="A40" s="7" t="s">
        <v>131</v>
      </c>
      <c r="B40" s="540" t="s">
        <v>132</v>
      </c>
      <c r="C40" s="122" t="e">
        <f>'[1]Feb 15'!$C$20</f>
        <v>#REF!</v>
      </c>
      <c r="D40" s="36"/>
      <c r="F40" s="201" t="s">
        <v>41</v>
      </c>
      <c r="G40" s="265">
        <f t="shared" si="4"/>
        <v>68846</v>
      </c>
      <c r="H40" s="391">
        <v>0.38496999999999998</v>
      </c>
      <c r="I40" s="197">
        <f t="shared" si="2"/>
        <v>26503.644619999999</v>
      </c>
      <c r="J40" s="201" t="s">
        <v>41</v>
      </c>
      <c r="K40" s="265">
        <f>K27</f>
        <v>0</v>
      </c>
      <c r="L40" s="391">
        <v>0.38272</v>
      </c>
      <c r="M40" s="197">
        <f t="shared" si="3"/>
        <v>0</v>
      </c>
      <c r="P40" s="275"/>
      <c r="Q40" s="275"/>
    </row>
    <row r="41" spans="1:17">
      <c r="A41" s="7" t="s">
        <v>153</v>
      </c>
      <c r="B41" s="6" t="s">
        <v>155</v>
      </c>
      <c r="C41" s="122" t="e">
        <f>'[1]Feb 15'!$C$19</f>
        <v>#REF!</v>
      </c>
      <c r="D41" s="36"/>
      <c r="F41" s="201" t="s">
        <v>42</v>
      </c>
      <c r="G41" s="265">
        <f t="shared" si="4"/>
        <v>0</v>
      </c>
      <c r="H41" s="391">
        <v>0.38496999999999998</v>
      </c>
      <c r="I41" s="197">
        <f t="shared" si="2"/>
        <v>0</v>
      </c>
      <c r="J41" s="201" t="s">
        <v>42</v>
      </c>
      <c r="K41" s="264">
        <v>0</v>
      </c>
      <c r="L41" s="391">
        <v>0.38272</v>
      </c>
      <c r="M41" s="197">
        <f t="shared" si="3"/>
        <v>0</v>
      </c>
      <c r="P41" s="275"/>
      <c r="Q41" s="275"/>
    </row>
    <row r="42" spans="1:17" ht="16" thickBot="1">
      <c r="A42" s="7" t="s">
        <v>179</v>
      </c>
      <c r="B42" s="540" t="s">
        <v>180</v>
      </c>
      <c r="C42" s="122" t="e">
        <f>'[1]Feb 15'!$C$21</f>
        <v>#REF!</v>
      </c>
      <c r="D42" s="37"/>
      <c r="F42" s="201" t="s">
        <v>43</v>
      </c>
      <c r="G42" s="265">
        <f t="shared" si="4"/>
        <v>123377</v>
      </c>
      <c r="H42" s="391">
        <v>0.38496999999999998</v>
      </c>
      <c r="I42" s="197">
        <f t="shared" si="2"/>
        <v>47496.44369</v>
      </c>
      <c r="J42" s="201" t="s">
        <v>43</v>
      </c>
      <c r="K42" s="266">
        <v>33212</v>
      </c>
      <c r="L42" s="391">
        <v>0.38272</v>
      </c>
      <c r="M42" s="197">
        <f t="shared" si="3"/>
        <v>12710.896640000001</v>
      </c>
      <c r="P42" s="275"/>
      <c r="Q42" s="275"/>
    </row>
    <row r="43" spans="1:17" ht="16" thickBot="1">
      <c r="A43" s="85" t="s">
        <v>123</v>
      </c>
      <c r="B43" s="12"/>
      <c r="C43" s="125" t="e">
        <f>SUM(C37:C42)</f>
        <v>#REF!</v>
      </c>
      <c r="D43" s="36"/>
      <c r="F43" s="200" t="s">
        <v>133</v>
      </c>
      <c r="G43" s="182">
        <f>SUM(G36:G42)</f>
        <v>19265899</v>
      </c>
      <c r="H43" s="183"/>
      <c r="I43" s="198">
        <f>SUM(I36:I42)</f>
        <v>7416793.13803</v>
      </c>
      <c r="J43" s="200" t="s">
        <v>133</v>
      </c>
      <c r="K43" s="182">
        <f>SUM(K36:K42)</f>
        <v>7975879</v>
      </c>
      <c r="L43" s="183"/>
      <c r="M43" s="198">
        <f>SUM(M36:M42)</f>
        <v>3052528.4108799999</v>
      </c>
    </row>
    <row r="44" spans="1:17" ht="16" thickBot="1">
      <c r="A44" s="83" t="s">
        <v>178</v>
      </c>
      <c r="B44" s="84" t="s">
        <v>120</v>
      </c>
      <c r="C44" s="242" t="e">
        <f>'[1]Feb 15'!$C$13</f>
        <v>#REF!</v>
      </c>
      <c r="D44" s="37"/>
      <c r="F44" s="189"/>
      <c r="G44" s="233">
        <v>19265899</v>
      </c>
      <c r="H44" s="190" t="s">
        <v>102</v>
      </c>
      <c r="I44" s="216">
        <f>I43/G43</f>
        <v>0.38496999999999998</v>
      </c>
      <c r="J44" s="195"/>
      <c r="K44" s="233">
        <v>7975879</v>
      </c>
      <c r="L44" s="190" t="s">
        <v>102</v>
      </c>
      <c r="M44" s="218">
        <f>M43/K43</f>
        <v>0.38272</v>
      </c>
    </row>
    <row r="45" spans="1:17">
      <c r="A45" s="212" t="s">
        <v>168</v>
      </c>
      <c r="B45" s="6" t="s">
        <v>115</v>
      </c>
      <c r="C45" s="122">
        <v>0</v>
      </c>
      <c r="D45" s="39"/>
      <c r="F45" s="387"/>
      <c r="G45" s="231">
        <f>G43-G44</f>
        <v>0</v>
      </c>
      <c r="H45" s="387"/>
      <c r="I45" s="387"/>
      <c r="J45" s="124"/>
      <c r="K45" s="231">
        <f>K43-K44</f>
        <v>0</v>
      </c>
      <c r="L45" s="387"/>
      <c r="M45" s="124"/>
    </row>
    <row r="46" spans="1:17" ht="19.5" customHeight="1" thickBot="1">
      <c r="A46" s="144" t="s">
        <v>169</v>
      </c>
      <c r="B46" s="6" t="s">
        <v>115</v>
      </c>
      <c r="C46" s="122">
        <v>0</v>
      </c>
      <c r="D46" s="40"/>
      <c r="F46" s="387"/>
      <c r="G46" s="387"/>
      <c r="H46" s="387"/>
      <c r="I46" s="387"/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114"/>
      <c r="H47" s="129" t="s">
        <v>35</v>
      </c>
      <c r="I47" s="13" t="s">
        <v>35</v>
      </c>
      <c r="J47" s="13" t="s">
        <v>63</v>
      </c>
      <c r="K47" s="127" t="s">
        <v>70</v>
      </c>
      <c r="L47" s="124"/>
      <c r="M47" s="387"/>
    </row>
    <row r="48" spans="1:17" ht="16" thickBot="1">
      <c r="A48" s="144" t="s">
        <v>222</v>
      </c>
      <c r="B48" s="6" t="s">
        <v>115</v>
      </c>
      <c r="C48" s="122" t="e">
        <f>'[1]Feb 15'!$B$57</f>
        <v>#REF!</v>
      </c>
      <c r="D48" s="36"/>
      <c r="F48" s="50" t="s">
        <v>73</v>
      </c>
      <c r="G48" s="387"/>
      <c r="H48" s="130" t="s">
        <v>2</v>
      </c>
      <c r="I48" s="131" t="s">
        <v>3</v>
      </c>
      <c r="J48" s="131" t="s">
        <v>2</v>
      </c>
      <c r="K48" s="128" t="s">
        <v>3</v>
      </c>
      <c r="L48" s="387"/>
      <c r="M48" s="387"/>
    </row>
    <row r="49" spans="1:21">
      <c r="A49" s="7" t="s">
        <v>130</v>
      </c>
      <c r="B49" s="540" t="s">
        <v>152</v>
      </c>
      <c r="C49" s="122" t="e">
        <f>'[1]Feb 15'!$C$28</f>
        <v>#REF!</v>
      </c>
      <c r="D49" s="36"/>
      <c r="F49" s="387"/>
      <c r="G49" s="387"/>
      <c r="H49" s="151"/>
      <c r="I49" s="152"/>
      <c r="J49" s="152"/>
      <c r="K49" s="152"/>
      <c r="L49" s="126" t="s">
        <v>103</v>
      </c>
      <c r="M49" s="387"/>
    </row>
    <row r="50" spans="1:21">
      <c r="A50" s="7" t="s">
        <v>175</v>
      </c>
      <c r="B50" s="540" t="s">
        <v>152</v>
      </c>
      <c r="C50" s="122" t="e">
        <f>'[1]Feb 15'!$C$29</f>
        <v>#REF!</v>
      </c>
      <c r="D50" s="37"/>
      <c r="F50" s="387" t="s">
        <v>136</v>
      </c>
      <c r="G50" s="387"/>
      <c r="H50" s="213" t="e">
        <f>K12</f>
        <v>#REF!</v>
      </c>
      <c r="I50" s="115">
        <f>I14</f>
        <v>1527527.8756810005</v>
      </c>
      <c r="J50" s="115" t="e">
        <f>L12</f>
        <v>#REF!</v>
      </c>
      <c r="K50" s="115">
        <f>J14</f>
        <v>646270.1543190002</v>
      </c>
      <c r="L50" s="132" t="e">
        <f>SUM(H50:K50)</f>
        <v>#REF!</v>
      </c>
      <c r="M50" s="387"/>
    </row>
    <row r="51" spans="1:21" ht="16" thickBot="1">
      <c r="A51" s="7" t="s">
        <v>224</v>
      </c>
      <c r="B51" s="540" t="s">
        <v>152</v>
      </c>
      <c r="C51" s="122" t="e">
        <f>'[1]Feb 15'!$C$30</f>
        <v>#REF!</v>
      </c>
      <c r="D51" s="36"/>
      <c r="F51" s="386" t="s">
        <v>109</v>
      </c>
      <c r="H51" s="213">
        <f>-I43</f>
        <v>-7416793.13803</v>
      </c>
      <c r="I51" s="115">
        <f>-I31</f>
        <v>-2251866.4417899996</v>
      </c>
      <c r="J51" s="115">
        <f>-M43</f>
        <v>-3052528.4108799999</v>
      </c>
      <c r="K51" s="115">
        <f>-M28</f>
        <v>-851533.32906999986</v>
      </c>
      <c r="L51" s="263">
        <f>SUM(H51:K51)</f>
        <v>-13572721.319769999</v>
      </c>
    </row>
    <row r="52" spans="1:21" ht="16" thickBot="1">
      <c r="A52" s="22" t="s">
        <v>118</v>
      </c>
      <c r="B52" s="6"/>
      <c r="C52" s="100">
        <f>-C33</f>
        <v>142900.18</v>
      </c>
      <c r="D52" s="33"/>
      <c r="F52" s="386" t="s">
        <v>86</v>
      </c>
      <c r="H52" s="235">
        <v>0</v>
      </c>
      <c r="I52" s="236">
        <v>0</v>
      </c>
      <c r="J52" s="236">
        <v>0</v>
      </c>
      <c r="K52" s="237">
        <v>0</v>
      </c>
      <c r="L52" s="215" t="e">
        <f>SUM(L50:L51)</f>
        <v>#REF!</v>
      </c>
    </row>
    <row r="53" spans="1:21" ht="16" thickBot="1">
      <c r="A53" s="384" t="s">
        <v>124</v>
      </c>
      <c r="B53" s="475"/>
      <c r="C53" s="314" t="e">
        <f>'[1]Feb 15'!$C$43</f>
        <v>#REF!</v>
      </c>
      <c r="D53" s="36"/>
      <c r="F53" s="386" t="s">
        <v>71</v>
      </c>
      <c r="H53" s="125">
        <f>IFERROR(H50+H51+H52,0)</f>
        <v>0</v>
      </c>
      <c r="I53" s="125">
        <f>I50+I51+I52</f>
        <v>-724338.56610899908</v>
      </c>
      <c r="J53" s="125">
        <f>IFERROR(J50+J51+J52,0)</f>
        <v>0</v>
      </c>
      <c r="K53" s="125">
        <f>K50+K51+K52</f>
        <v>-205263.17475099966</v>
      </c>
      <c r="L53" s="47">
        <f>SUM(H53:K53)</f>
        <v>-929601.74085999874</v>
      </c>
    </row>
    <row r="54" spans="1:21" ht="16" thickBot="1">
      <c r="A54" s="386" t="s">
        <v>191</v>
      </c>
      <c r="B54" s="6" t="s">
        <v>192</v>
      </c>
      <c r="C54" s="122" t="e">
        <f>'[1]Feb 15'!$C$32</f>
        <v>#REF!</v>
      </c>
      <c r="D54" s="36"/>
      <c r="F54" s="241" t="s">
        <v>182</v>
      </c>
      <c r="H54" s="386" t="s">
        <v>173</v>
      </c>
      <c r="I54" s="5">
        <f>SUM(H53:I53)</f>
        <v>-724338.56610899908</v>
      </c>
      <c r="J54" s="15" t="s">
        <v>174</v>
      </c>
      <c r="K54" s="386">
        <f>SUM(J53:K53)</f>
        <v>-205263.17475099966</v>
      </c>
      <c r="L54" s="214" t="e">
        <f>ROUND(L52-L53,3)</f>
        <v>#REF!</v>
      </c>
    </row>
    <row r="55" spans="1:21" ht="16.5" thickTop="1" thickBot="1">
      <c r="A55" s="82" t="s">
        <v>119</v>
      </c>
      <c r="B55" s="84"/>
      <c r="C55" s="160" t="e">
        <f>SUM(C43:C54)</f>
        <v>#REF!</v>
      </c>
      <c r="D55" s="36"/>
      <c r="F55" s="399" t="s">
        <v>182</v>
      </c>
      <c r="H55" s="96"/>
    </row>
    <row r="56" spans="1:21" ht="16.5" thickTop="1" thickBot="1">
      <c r="A56" s="386" t="s">
        <v>121</v>
      </c>
      <c r="B56" s="6" t="s">
        <v>115</v>
      </c>
      <c r="C56" s="122">
        <v>-18342.82</v>
      </c>
      <c r="D56" s="36"/>
      <c r="F56" s="399" t="s">
        <v>183</v>
      </c>
      <c r="H56" s="157"/>
      <c r="I56" s="120"/>
      <c r="J56" s="120"/>
      <c r="K56" s="205"/>
      <c r="L56" s="120"/>
      <c r="T56" s="42"/>
    </row>
    <row r="57" spans="1:21">
      <c r="A57" s="386" t="s">
        <v>122</v>
      </c>
      <c r="B57" s="6" t="s">
        <v>115</v>
      </c>
      <c r="C57" s="122">
        <v>-7543.57</v>
      </c>
      <c r="D57" s="36"/>
      <c r="F57" s="551" t="s">
        <v>323</v>
      </c>
      <c r="G57" s="552" t="str">
        <f>IF(OR(AND(I54&gt;0,K54&gt;0),AND(I54&lt;0,K54&lt;0)),"OK","ERROR")</f>
        <v>OK</v>
      </c>
      <c r="H57" s="388" t="s">
        <v>314</v>
      </c>
      <c r="I57" s="389"/>
    </row>
    <row r="58" spans="1:21" ht="16" thickBot="1">
      <c r="A58" s="2" t="s">
        <v>125</v>
      </c>
      <c r="B58" s="2"/>
      <c r="C58" s="160" t="e">
        <f>SUM(C55:C57)</f>
        <v>#REF!</v>
      </c>
      <c r="D58" s="36"/>
      <c r="H58" s="320" t="s">
        <v>176</v>
      </c>
      <c r="I58" s="321" t="s">
        <v>177</v>
      </c>
      <c r="J58" s="5"/>
    </row>
    <row r="59" spans="1:21" ht="16.5" thickTop="1" thickBot="1">
      <c r="A59" s="2"/>
      <c r="C59" s="101"/>
      <c r="D59" s="36"/>
      <c r="H59" s="351">
        <f>SUM('WA - Def-Amtz'!AL5:AL10,'WA - Def-Amtz'!AL41:AL46,'WA - Def-Amtz'!AL76:AL79,'ID - Def-Amtz '!AL5:AL10,'ID - Def-Amtz '!AL42:AL47,'ID - Def-Amtz '!AL75:AL80)</f>
        <v>7890436.3542569289</v>
      </c>
      <c r="I59" s="451">
        <f>SUM('WA - Def-Amtz'!AM5:AM10,'WA - Def-Amtz'!AM41:AM46,'WA - Def-Amtz'!AM76:AM79,'ID - Def-Amtz '!AM5:AM10,'ID - Def-Amtz '!AM42:AM47,'ID - Def-Amtz '!AM75:AM80)</f>
        <v>7890436.3542569289</v>
      </c>
      <c r="J59" s="386">
        <f>H51+I51+J51+K51</f>
        <v>-13572721.319769999</v>
      </c>
    </row>
    <row r="60" spans="1:21" ht="16" thickBot="1">
      <c r="A60" s="9"/>
      <c r="B60" s="9" t="s">
        <v>95</v>
      </c>
      <c r="C60" s="125" t="e">
        <f>C58+C34</f>
        <v>#REF!</v>
      </c>
      <c r="D60" s="36"/>
      <c r="G60" s="5"/>
      <c r="I60" s="340">
        <f>H59-I59</f>
        <v>0</v>
      </c>
    </row>
    <row r="61" spans="1:21">
      <c r="A61" s="2"/>
      <c r="B61" s="9" t="s">
        <v>160</v>
      </c>
      <c r="C61" s="352">
        <v>12928129.460000001</v>
      </c>
      <c r="D61" s="37"/>
    </row>
    <row r="62" spans="1:21">
      <c r="A62" s="9"/>
      <c r="B62" s="9" t="s">
        <v>159</v>
      </c>
      <c r="C62" s="259" t="e">
        <f>ROUND(C60-C61,2)</f>
        <v>#REF!</v>
      </c>
      <c r="N62" s="5"/>
      <c r="O62" s="5"/>
      <c r="P62" s="21"/>
    </row>
    <row r="63" spans="1:21">
      <c r="A63" s="44"/>
      <c r="C63" s="353"/>
      <c r="D63" s="36"/>
      <c r="S63" s="6"/>
    </row>
    <row r="64" spans="1:21">
      <c r="A64" s="44"/>
      <c r="C64" s="8"/>
      <c r="D64" s="43"/>
      <c r="H64" s="96"/>
      <c r="N64" s="22"/>
      <c r="U64" s="2"/>
    </row>
    <row r="65" spans="1:21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4 I60">
    <cfRule type="cellIs" dxfId="767" priority="8" stopIfTrue="1" operator="equal">
      <formula>0</formula>
    </cfRule>
    <cfRule type="cellIs" dxfId="766" priority="9" stopIfTrue="1" operator="notEqual">
      <formula>0</formula>
    </cfRule>
  </conditionalFormatting>
  <conditionalFormatting sqref="G33 G45 K30 K45">
    <cfRule type="cellIs" dxfId="765" priority="7" operator="notEqual">
      <formula>0</formula>
    </cfRule>
  </conditionalFormatting>
  <conditionalFormatting sqref="C62">
    <cfRule type="cellIs" dxfId="764" priority="5" stopIfTrue="1" operator="equal">
      <formula>0</formula>
    </cfRule>
    <cfRule type="cellIs" dxfId="763" priority="6" stopIfTrue="1" operator="notEqual">
      <formula>0</formula>
    </cfRule>
  </conditionalFormatting>
  <conditionalFormatting sqref="K30">
    <cfRule type="cellIs" dxfId="762" priority="4" operator="notEqual">
      <formula>0</formula>
    </cfRule>
  </conditionalFormatting>
  <conditionalFormatting sqref="G57">
    <cfRule type="cellIs" dxfId="761" priority="3" operator="equal">
      <formula>"""ERROR"""</formula>
    </cfRule>
  </conditionalFormatting>
  <conditionalFormatting sqref="G57">
    <cfRule type="cellIs" dxfId="760" priority="2" operator="equal">
      <formula>"ERROR"</formula>
    </cfRule>
  </conditionalFormatting>
  <conditionalFormatting sqref="G57">
    <cfRule type="cellIs" dxfId="759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8">
    <tabColor rgb="FF00CC66"/>
    <pageSetUpPr fitToPage="1"/>
  </sheetPr>
  <dimension ref="A1:U1484"/>
  <sheetViews>
    <sheetView showGridLines="0" zoomScale="85" zoomScaleNormal="85" workbookViewId="0">
      <selection activeCell="C52" sqref="C52"/>
    </sheetView>
  </sheetViews>
  <sheetFormatPr defaultColWidth="16" defaultRowHeight="15.5"/>
  <cols>
    <col min="1" max="1" width="44.8984375" style="386" customWidth="1"/>
    <col min="2" max="2" width="25.59765625" style="386" customWidth="1"/>
    <col min="3" max="3" width="25.296875" style="386" customWidth="1"/>
    <col min="4" max="4" width="2.69921875" style="30" customWidth="1"/>
    <col min="5" max="5" width="4.296875" style="386" customWidth="1"/>
    <col min="6" max="6" width="26.69921875" style="386" customWidth="1"/>
    <col min="7" max="7" width="19" style="386" customWidth="1"/>
    <col min="8" max="8" width="22" style="386" customWidth="1"/>
    <col min="9" max="9" width="20.3984375" style="386" customWidth="1"/>
    <col min="10" max="10" width="26.296875" style="386" customWidth="1"/>
    <col min="11" max="11" width="21.8984375" style="386" bestFit="1" customWidth="1"/>
    <col min="12" max="12" width="23.8984375" style="386" customWidth="1"/>
    <col min="13" max="13" width="20.8984375" style="386" bestFit="1" customWidth="1"/>
    <col min="14" max="15" width="16" style="386"/>
    <col min="16" max="16" width="16.296875" style="386" bestFit="1" customWidth="1"/>
    <col min="17" max="16384" width="16" style="386"/>
  </cols>
  <sheetData>
    <row r="1" spans="1:13" ht="16" thickBot="1">
      <c r="A1" s="145" t="s">
        <v>64</v>
      </c>
      <c r="B1" s="29"/>
      <c r="C1" s="534">
        <f>Feb!C1+1</f>
        <v>201503</v>
      </c>
      <c r="F1" s="534">
        <f>C1</f>
        <v>201503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>
      <c r="A4" s="387" t="s">
        <v>88</v>
      </c>
      <c r="C4" s="314">
        <v>4598122.63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-89.78-647.65+100513.99</f>
        <v>99776.560000000012</v>
      </c>
      <c r="D5" s="34"/>
      <c r="F5" s="387"/>
      <c r="G5" s="387"/>
      <c r="H5" s="11"/>
      <c r="I5" s="166">
        <v>0.70840000000000003</v>
      </c>
      <c r="J5" s="166">
        <f>1-I5</f>
        <v>0.29159999999999997</v>
      </c>
      <c r="K5" s="447">
        <f>ROUND(G43/(G43+K43),4)</f>
        <v>0.68030000000000002</v>
      </c>
      <c r="L5" s="447">
        <f>1-K5</f>
        <v>0.31969999999999998</v>
      </c>
      <c r="M5" s="387"/>
    </row>
    <row r="6" spans="1:13" ht="16" thickBot="1">
      <c r="A6" s="49" t="s">
        <v>30</v>
      </c>
      <c r="C6" s="315">
        <f>-2343063.08-482980-73845.1-127100-142987.5-81979.5-18600-102391.76</f>
        <v>-3372946.94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" thickBot="1">
      <c r="A7" s="66" t="s">
        <v>140</v>
      </c>
      <c r="C7" s="100">
        <f>SUM(C4:C6)</f>
        <v>1324952.2499999995</v>
      </c>
      <c r="D7" s="35"/>
      <c r="F7" s="167" t="s">
        <v>139</v>
      </c>
      <c r="G7" s="167"/>
      <c r="H7" s="125">
        <f>C34</f>
        <v>2305977.5199999996</v>
      </c>
      <c r="I7" s="168">
        <f>H7*I5</f>
        <v>1633554.4751679997</v>
      </c>
      <c r="J7" s="168">
        <f>H7*J5</f>
        <v>672423.04483199981</v>
      </c>
      <c r="K7" s="168"/>
      <c r="L7" s="168"/>
      <c r="M7" s="387"/>
    </row>
    <row r="8" spans="1:13">
      <c r="A8" s="386" t="s">
        <v>89</v>
      </c>
      <c r="C8" s="314">
        <f>386841.99</f>
        <v>386841.99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>
      <c r="A9" s="387" t="s">
        <v>90</v>
      </c>
      <c r="C9" s="314">
        <v>11191.2</v>
      </c>
      <c r="D9" s="36"/>
      <c r="F9" s="167" t="s">
        <v>119</v>
      </c>
      <c r="G9" s="387"/>
      <c r="H9" s="168">
        <f>C55</f>
        <v>10162765.590000004</v>
      </c>
      <c r="I9" s="168"/>
      <c r="J9" s="168"/>
      <c r="K9" s="168">
        <f>H9*K5</f>
        <v>6913729.4308770029</v>
      </c>
      <c r="L9" s="168">
        <f>H9*L5</f>
        <v>3249036.1591230012</v>
      </c>
      <c r="M9" s="387"/>
    </row>
    <row r="10" spans="1:13">
      <c r="A10" s="49" t="s">
        <v>91</v>
      </c>
      <c r="C10" s="315">
        <v>-3479.42</v>
      </c>
      <c r="D10" s="36"/>
      <c r="F10" s="170" t="s">
        <v>44</v>
      </c>
      <c r="G10" s="387"/>
      <c r="H10" s="168">
        <f>C56</f>
        <v>-2818.53</v>
      </c>
      <c r="I10" s="168"/>
      <c r="J10" s="168"/>
      <c r="K10" s="168">
        <f>H10</f>
        <v>-2818.53</v>
      </c>
      <c r="L10" s="168"/>
      <c r="M10" s="387"/>
    </row>
    <row r="11" spans="1:13">
      <c r="A11" s="66" t="s">
        <v>145</v>
      </c>
      <c r="C11" s="100">
        <f>SUM(C8:C10)</f>
        <v>394553.77</v>
      </c>
      <c r="D11" s="36"/>
      <c r="F11" s="170" t="s">
        <v>45</v>
      </c>
      <c r="G11" s="387"/>
      <c r="H11" s="171">
        <f>C57</f>
        <v>-2298.13</v>
      </c>
      <c r="I11" s="168"/>
      <c r="J11" s="168"/>
      <c r="K11" s="171"/>
      <c r="L11" s="171">
        <f>H11</f>
        <v>-2298.13</v>
      </c>
      <c r="M11" s="387"/>
    </row>
    <row r="12" spans="1:13">
      <c r="A12" s="386" t="s">
        <v>165</v>
      </c>
      <c r="C12" s="314">
        <f>219410.47-572.98</f>
        <v>218837.49</v>
      </c>
      <c r="D12" s="36"/>
      <c r="F12" s="170" t="s">
        <v>138</v>
      </c>
      <c r="G12" s="387"/>
      <c r="H12" s="168">
        <f>H9+H10+H11</f>
        <v>10157648.930000003</v>
      </c>
      <c r="I12" s="168"/>
      <c r="J12" s="168"/>
      <c r="K12" s="168">
        <f>SUM(K9:K11)</f>
        <v>6910910.9008770026</v>
      </c>
      <c r="L12" s="168">
        <f>SUM(L9:L11)</f>
        <v>3246738.0291230013</v>
      </c>
      <c r="M12" s="387"/>
    </row>
    <row r="13" spans="1:13" ht="16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" thickBot="1">
      <c r="A14" s="66" t="s">
        <v>92</v>
      </c>
      <c r="C14" s="100">
        <f>SUM(C12:C13)</f>
        <v>218837.49</v>
      </c>
      <c r="D14" s="37"/>
      <c r="F14" s="50" t="s">
        <v>69</v>
      </c>
      <c r="G14" s="176"/>
      <c r="H14" s="125">
        <f>H12+H7</f>
        <v>12463626.450000003</v>
      </c>
      <c r="I14" s="177">
        <f>SUM(I7:I13)</f>
        <v>1633554.4751679997</v>
      </c>
      <c r="J14" s="177">
        <f>SUM(J7:J13)</f>
        <v>672423.04483199981</v>
      </c>
      <c r="K14" s="177">
        <f>K12</f>
        <v>6910910.9008770026</v>
      </c>
      <c r="L14" s="177">
        <f>L12</f>
        <v>3246738.0291230013</v>
      </c>
      <c r="M14" s="387"/>
    </row>
    <row r="15" spans="1:13">
      <c r="A15" s="386" t="s">
        <v>184</v>
      </c>
      <c r="C15" s="314">
        <f>-1079.81+413492.21</f>
        <v>412412.4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6" thickBot="1">
      <c r="A17" s="66" t="s">
        <v>186</v>
      </c>
      <c r="C17" s="100">
        <f>SUM(C15:C16)</f>
        <v>412412.4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" thickBot="1">
      <c r="A18" s="386" t="s">
        <v>163</v>
      </c>
      <c r="C18" s="314">
        <f>-207.2+75808.59+6395.76</f>
        <v>81997.149999999994</v>
      </c>
      <c r="D18" s="36"/>
      <c r="F18" s="704" t="s">
        <v>134</v>
      </c>
      <c r="G18" s="705"/>
      <c r="H18" s="705"/>
      <c r="I18" s="706"/>
      <c r="J18" s="704" t="s">
        <v>135</v>
      </c>
      <c r="K18" s="705"/>
      <c r="L18" s="705"/>
      <c r="M18" s="706"/>
    </row>
    <row r="19" spans="1:13">
      <c r="A19" s="46" t="s">
        <v>164</v>
      </c>
      <c r="C19" s="315">
        <v>0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" thickBot="1">
      <c r="A20" s="67" t="s">
        <v>93</v>
      </c>
      <c r="C20" s="100">
        <f>SUM(C18:C19)</f>
        <v>81997.149999999994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>
      <c r="A23" s="209" t="s">
        <v>181</v>
      </c>
      <c r="C23" s="100">
        <v>0</v>
      </c>
      <c r="D23" s="36"/>
      <c r="F23" s="201" t="s">
        <v>37</v>
      </c>
      <c r="G23" s="264">
        <v>10479005</v>
      </c>
      <c r="H23" s="391">
        <v>0.1183</v>
      </c>
      <c r="I23" s="197">
        <f t="shared" ref="I23:I30" si="0">G23*H23</f>
        <v>1239666.2915000001</v>
      </c>
      <c r="J23" s="201" t="s">
        <v>37</v>
      </c>
      <c r="K23" s="264">
        <v>5090227</v>
      </c>
      <c r="L23" s="391">
        <v>0.10721</v>
      </c>
      <c r="M23" s="197">
        <f>K23*L23</f>
        <v>545723.23667000001</v>
      </c>
    </row>
    <row r="24" spans="1:13">
      <c r="A24" s="209" t="s">
        <v>187</v>
      </c>
      <c r="C24" s="314">
        <v>0</v>
      </c>
      <c r="D24" s="36"/>
      <c r="F24" s="201" t="s">
        <v>38</v>
      </c>
      <c r="G24" s="264">
        <v>4030672</v>
      </c>
      <c r="H24" s="391">
        <v>0.11607000000000001</v>
      </c>
      <c r="I24" s="197">
        <f t="shared" si="0"/>
        <v>467840.09904</v>
      </c>
      <c r="J24" s="201" t="s">
        <v>38</v>
      </c>
      <c r="K24" s="264">
        <v>1927746</v>
      </c>
      <c r="L24" s="391">
        <v>0.10721</v>
      </c>
      <c r="M24" s="197">
        <f t="shared" ref="M24:M27" si="1">K24*L24</f>
        <v>206673.64866000001</v>
      </c>
    </row>
    <row r="25" spans="1:13">
      <c r="A25" s="209" t="s">
        <v>190</v>
      </c>
      <c r="C25" s="316">
        <v>0</v>
      </c>
      <c r="D25" s="36"/>
      <c r="F25" s="201" t="s">
        <v>39</v>
      </c>
      <c r="G25" s="264"/>
      <c r="H25" s="391">
        <v>0.11607000000000001</v>
      </c>
      <c r="I25" s="197">
        <f t="shared" si="0"/>
        <v>0</v>
      </c>
      <c r="J25" s="201" t="s">
        <v>39</v>
      </c>
      <c r="K25" s="264">
        <v>871</v>
      </c>
      <c r="L25" s="391">
        <v>0.10721</v>
      </c>
      <c r="M25" s="197">
        <f t="shared" si="1"/>
        <v>93.379909999999995</v>
      </c>
    </row>
    <row r="26" spans="1:13">
      <c r="A26" s="210" t="s">
        <v>189</v>
      </c>
      <c r="C26" s="317">
        <v>0</v>
      </c>
      <c r="D26" s="36"/>
      <c r="F26" s="201" t="s">
        <v>40</v>
      </c>
      <c r="G26" s="264">
        <v>335852</v>
      </c>
      <c r="H26" s="391">
        <v>9.783E-2</v>
      </c>
      <c r="I26" s="197">
        <f t="shared" si="0"/>
        <v>32856.401160000001</v>
      </c>
      <c r="J26" s="201" t="s">
        <v>40</v>
      </c>
      <c r="K26" s="264"/>
      <c r="L26" s="391">
        <v>0.10721</v>
      </c>
      <c r="M26" s="197">
        <f t="shared" si="1"/>
        <v>0</v>
      </c>
    </row>
    <row r="27" spans="1:13">
      <c r="A27" s="65" t="s">
        <v>96</v>
      </c>
      <c r="C27" s="100">
        <f>SUM(C23:C26)</f>
        <v>0</v>
      </c>
      <c r="D27" s="36"/>
      <c r="F27" s="201" t="s">
        <v>41</v>
      </c>
      <c r="G27" s="264">
        <v>57610</v>
      </c>
      <c r="H27" s="391">
        <v>9.783E-2</v>
      </c>
      <c r="I27" s="197">
        <f t="shared" si="0"/>
        <v>5635.9862999999996</v>
      </c>
      <c r="J27" s="201" t="s">
        <v>41</v>
      </c>
      <c r="K27" s="264"/>
      <c r="L27" s="391">
        <v>0.10721</v>
      </c>
      <c r="M27" s="197">
        <f t="shared" si="1"/>
        <v>0</v>
      </c>
    </row>
    <row r="28" spans="1:13" ht="16" thickBot="1">
      <c r="A28" s="211" t="s">
        <v>150</v>
      </c>
      <c r="C28" s="314">
        <v>0</v>
      </c>
      <c r="D28" s="37"/>
      <c r="F28" s="201" t="s">
        <v>42</v>
      </c>
      <c r="G28" s="264"/>
      <c r="H28" s="391">
        <v>6.9959999999999994E-2</v>
      </c>
      <c r="I28" s="197">
        <f t="shared" si="0"/>
        <v>0</v>
      </c>
      <c r="J28" s="200" t="s">
        <v>127</v>
      </c>
      <c r="K28" s="182">
        <f>SUM(K23:K27)</f>
        <v>7018844</v>
      </c>
      <c r="L28" s="183"/>
      <c r="M28" s="198">
        <f>SUM(M23:M27)</f>
        <v>752490.26523999998</v>
      </c>
    </row>
    <row r="29" spans="1:13" ht="16.5" thickTop="1" thickBot="1">
      <c r="A29" s="211" t="s">
        <v>167</v>
      </c>
      <c r="B29" s="387"/>
      <c r="C29" s="314">
        <v>0</v>
      </c>
      <c r="D29" s="36"/>
      <c r="F29" s="201" t="s">
        <v>43</v>
      </c>
      <c r="G29" s="264">
        <v>100117</v>
      </c>
      <c r="H29" s="391">
        <v>6.9959999999999994E-2</v>
      </c>
      <c r="I29" s="197">
        <f t="shared" si="0"/>
        <v>7004.1853199999996</v>
      </c>
      <c r="J29" s="200"/>
      <c r="K29" s="232">
        <v>7018844</v>
      </c>
      <c r="L29" s="188" t="s">
        <v>102</v>
      </c>
      <c r="M29" s="467">
        <f>M28/K28</f>
        <v>0.10721</v>
      </c>
    </row>
    <row r="30" spans="1:13" ht="16" thickBot="1">
      <c r="A30" s="2" t="s">
        <v>111</v>
      </c>
      <c r="C30" s="125">
        <f>C7+C11+C14+C17+C20+C22+C27+C28+C29</f>
        <v>2432753.0599999996</v>
      </c>
      <c r="D30" s="37"/>
      <c r="F30" s="201" t="s">
        <v>74</v>
      </c>
      <c r="G30" s="264">
        <v>2608561</v>
      </c>
      <c r="H30" s="391">
        <v>5.4000000000000001E-4</v>
      </c>
      <c r="I30" s="197">
        <f t="shared" si="0"/>
        <v>1408.62294</v>
      </c>
      <c r="J30" s="201"/>
      <c r="K30" s="231">
        <f>K28-K29</f>
        <v>0</v>
      </c>
      <c r="L30" s="183"/>
      <c r="M30" s="199"/>
    </row>
    <row r="31" spans="1:13" ht="16" thickBot="1">
      <c r="A31" s="386" t="s">
        <v>112</v>
      </c>
      <c r="C31" s="314">
        <v>-15807.78</v>
      </c>
      <c r="D31" s="39"/>
      <c r="F31" s="200" t="s">
        <v>127</v>
      </c>
      <c r="G31" s="182">
        <f>SUM(G23:G30)</f>
        <v>17611817</v>
      </c>
      <c r="H31" s="7"/>
      <c r="I31" s="198">
        <f>SUM(I23:I30)</f>
        <v>1754411.5862599998</v>
      </c>
      <c r="J31" s="153"/>
      <c r="K31" s="7"/>
      <c r="L31" s="183"/>
      <c r="M31" s="199"/>
    </row>
    <row r="32" spans="1:13" ht="16" thickTop="1">
      <c r="A32" s="2" t="s">
        <v>116</v>
      </c>
      <c r="B32" s="2" t="s">
        <v>117</v>
      </c>
      <c r="C32" s="240">
        <f>C30+C31</f>
        <v>2416945.2799999998</v>
      </c>
      <c r="D32" s="40"/>
      <c r="F32" s="187"/>
      <c r="G32" s="232">
        <v>17611817</v>
      </c>
      <c r="H32" s="188" t="s">
        <v>102</v>
      </c>
      <c r="I32" s="217">
        <f>I31/G31</f>
        <v>9.961559254561865E-2</v>
      </c>
      <c r="J32" s="193"/>
      <c r="K32" s="194"/>
      <c r="L32" s="7"/>
      <c r="M32" s="191"/>
    </row>
    <row r="33" spans="1:17" ht="16" thickBot="1">
      <c r="A33" s="386" t="s">
        <v>113</v>
      </c>
      <c r="C33" s="313">
        <f>-C5-C9-C13-C16-C19</f>
        <v>-110967.76000000001</v>
      </c>
      <c r="D33" s="36"/>
      <c r="F33" s="153"/>
      <c r="G33" s="231">
        <f>G31-G32</f>
        <v>0</v>
      </c>
      <c r="H33" s="7"/>
      <c r="I33" s="98"/>
      <c r="J33" s="193"/>
      <c r="K33" s="194"/>
      <c r="L33" s="7"/>
      <c r="M33" s="98"/>
    </row>
    <row r="34" spans="1:17" ht="16" thickBot="1">
      <c r="A34" s="2" t="s">
        <v>114</v>
      </c>
      <c r="C34" s="125">
        <f>SUM(C32:C33)</f>
        <v>2305977.5199999996</v>
      </c>
      <c r="D34" s="36"/>
      <c r="F34" s="185"/>
      <c r="G34" s="12"/>
      <c r="H34" s="12"/>
      <c r="I34" s="186"/>
      <c r="J34" s="193"/>
      <c r="K34" s="192"/>
      <c r="L34" s="7"/>
      <c r="M34" s="98"/>
    </row>
    <row r="35" spans="1:17" ht="18" customHeight="1">
      <c r="A35" s="2"/>
      <c r="C35" s="101"/>
      <c r="D35" s="36"/>
      <c r="F35" s="200" t="s">
        <v>128</v>
      </c>
      <c r="G35" s="7"/>
      <c r="H35" s="7"/>
      <c r="I35" s="98"/>
      <c r="J35" s="200" t="s">
        <v>128</v>
      </c>
      <c r="K35" s="702"/>
      <c r="L35" s="702"/>
      <c r="M35" s="703"/>
    </row>
    <row r="36" spans="1:17">
      <c r="A36" s="16" t="s">
        <v>94</v>
      </c>
      <c r="B36" s="2"/>
      <c r="C36" s="100"/>
      <c r="D36" s="36"/>
      <c r="F36" s="201" t="s">
        <v>37</v>
      </c>
      <c r="G36" s="265">
        <f>G23</f>
        <v>10479005</v>
      </c>
      <c r="H36" s="391">
        <v>0.38496999999999998</v>
      </c>
      <c r="I36" s="197">
        <f t="shared" ref="I36:I42" si="2">G36*H36</f>
        <v>4034102.55485</v>
      </c>
      <c r="J36" s="201" t="s">
        <v>37</v>
      </c>
      <c r="K36" s="265">
        <f>K23</f>
        <v>5090227</v>
      </c>
      <c r="L36" s="391">
        <v>0.38272</v>
      </c>
      <c r="M36" s="197">
        <f t="shared" ref="M36:M42" si="3">K36*L36</f>
        <v>1948131.67744</v>
      </c>
      <c r="P36" s="275"/>
      <c r="Q36" s="275"/>
    </row>
    <row r="37" spans="1:17">
      <c r="A37" s="7" t="s">
        <v>129</v>
      </c>
      <c r="B37" s="540" t="s">
        <v>115</v>
      </c>
      <c r="C37" s="122">
        <v>15101135.720000001</v>
      </c>
      <c r="D37" s="36"/>
      <c r="F37" s="201" t="s">
        <v>38</v>
      </c>
      <c r="G37" s="265">
        <f t="shared" ref="G37:G42" si="4">G24</f>
        <v>4030672</v>
      </c>
      <c r="H37" s="391">
        <v>0.38496999999999998</v>
      </c>
      <c r="I37" s="197">
        <f t="shared" si="2"/>
        <v>1551687.79984</v>
      </c>
      <c r="J37" s="201" t="s">
        <v>38</v>
      </c>
      <c r="K37" s="265">
        <f>K24</f>
        <v>1927746</v>
      </c>
      <c r="L37" s="391">
        <v>0.38272</v>
      </c>
      <c r="M37" s="197">
        <f t="shared" si="3"/>
        <v>737786.94912</v>
      </c>
      <c r="P37" s="275"/>
      <c r="Q37" s="275"/>
    </row>
    <row r="38" spans="1:17">
      <c r="A38" s="144" t="s">
        <v>14</v>
      </c>
      <c r="B38" s="540" t="s">
        <v>115</v>
      </c>
      <c r="C38" s="122">
        <v>0</v>
      </c>
      <c r="D38" s="36"/>
      <c r="F38" s="201" t="s">
        <v>39</v>
      </c>
      <c r="G38" s="265">
        <f t="shared" si="4"/>
        <v>0</v>
      </c>
      <c r="H38" s="391">
        <v>0.38496999999999998</v>
      </c>
      <c r="I38" s="197">
        <f t="shared" si="2"/>
        <v>0</v>
      </c>
      <c r="J38" s="201" t="s">
        <v>39</v>
      </c>
      <c r="K38" s="265">
        <f>K25</f>
        <v>871</v>
      </c>
      <c r="L38" s="391">
        <v>0.38272</v>
      </c>
      <c r="M38" s="197">
        <f t="shared" si="3"/>
        <v>333.34912000000003</v>
      </c>
      <c r="P38" s="275"/>
      <c r="Q38" s="275"/>
    </row>
    <row r="39" spans="1:17">
      <c r="A39" s="7" t="s">
        <v>146</v>
      </c>
      <c r="B39" s="540" t="s">
        <v>147</v>
      </c>
      <c r="C39" s="122">
        <v>-39213.64</v>
      </c>
      <c r="D39" s="36"/>
      <c r="F39" s="201" t="s">
        <v>40</v>
      </c>
      <c r="G39" s="265">
        <f t="shared" si="4"/>
        <v>335852</v>
      </c>
      <c r="H39" s="391">
        <v>0.38496999999999998</v>
      </c>
      <c r="I39" s="197">
        <f t="shared" si="2"/>
        <v>129292.94443999999</v>
      </c>
      <c r="J39" s="201" t="s">
        <v>40</v>
      </c>
      <c r="K39" s="265">
        <f>K26</f>
        <v>0</v>
      </c>
      <c r="L39" s="391">
        <v>0.38272</v>
      </c>
      <c r="M39" s="197">
        <f t="shared" si="3"/>
        <v>0</v>
      </c>
      <c r="P39" s="275"/>
      <c r="Q39" s="275"/>
    </row>
    <row r="40" spans="1:17">
      <c r="A40" s="7" t="s">
        <v>131</v>
      </c>
      <c r="B40" s="540" t="s">
        <v>132</v>
      </c>
      <c r="C40" s="122">
        <v>2381888.59</v>
      </c>
      <c r="D40" s="36"/>
      <c r="F40" s="201" t="s">
        <v>41</v>
      </c>
      <c r="G40" s="265">
        <f t="shared" si="4"/>
        <v>57610</v>
      </c>
      <c r="H40" s="391">
        <v>0.38496999999999998</v>
      </c>
      <c r="I40" s="197">
        <f t="shared" si="2"/>
        <v>22178.1217</v>
      </c>
      <c r="J40" s="201" t="s">
        <v>41</v>
      </c>
      <c r="K40" s="265">
        <f>K27</f>
        <v>0</v>
      </c>
      <c r="L40" s="391">
        <v>0.38272</v>
      </c>
      <c r="M40" s="197">
        <f t="shared" si="3"/>
        <v>0</v>
      </c>
      <c r="P40" s="275"/>
      <c r="Q40" s="275"/>
    </row>
    <row r="41" spans="1:17">
      <c r="A41" s="7" t="s">
        <v>153</v>
      </c>
      <c r="B41" s="6" t="s">
        <v>155</v>
      </c>
      <c r="C41" s="122">
        <v>9430.84</v>
      </c>
      <c r="D41" s="36"/>
      <c r="F41" s="201" t="s">
        <v>42</v>
      </c>
      <c r="G41" s="265">
        <f t="shared" si="4"/>
        <v>0</v>
      </c>
      <c r="H41" s="391">
        <v>0.38496999999999998</v>
      </c>
      <c r="I41" s="197">
        <f t="shared" si="2"/>
        <v>0</v>
      </c>
      <c r="J41" s="201" t="s">
        <v>42</v>
      </c>
      <c r="K41" s="264">
        <v>0</v>
      </c>
      <c r="L41" s="391">
        <v>0.38272</v>
      </c>
      <c r="M41" s="197">
        <f t="shared" si="3"/>
        <v>0</v>
      </c>
      <c r="P41" s="275"/>
      <c r="Q41" s="275"/>
    </row>
    <row r="42" spans="1:17" ht="16" thickBot="1">
      <c r="A42" s="7" t="s">
        <v>179</v>
      </c>
      <c r="B42" s="540" t="s">
        <v>180</v>
      </c>
      <c r="C42" s="122">
        <v>841807.37</v>
      </c>
      <c r="D42" s="37"/>
      <c r="F42" s="201" t="s">
        <v>43</v>
      </c>
      <c r="G42" s="265">
        <f t="shared" si="4"/>
        <v>100117</v>
      </c>
      <c r="H42" s="391">
        <v>0.38496999999999998</v>
      </c>
      <c r="I42" s="197">
        <f t="shared" si="2"/>
        <v>38542.041489999996</v>
      </c>
      <c r="J42" s="201" t="s">
        <v>43</v>
      </c>
      <c r="K42" s="266">
        <v>33140</v>
      </c>
      <c r="L42" s="391">
        <v>0.38272</v>
      </c>
      <c r="M42" s="197">
        <f t="shared" si="3"/>
        <v>12683.3408</v>
      </c>
      <c r="P42" s="275"/>
      <c r="Q42" s="275"/>
    </row>
    <row r="43" spans="1:17" ht="16" thickBot="1">
      <c r="A43" s="85" t="s">
        <v>123</v>
      </c>
      <c r="B43" s="12"/>
      <c r="C43" s="125">
        <f>SUM(C37:C42)</f>
        <v>18295048.880000003</v>
      </c>
      <c r="D43" s="36"/>
      <c r="F43" s="200" t="s">
        <v>133</v>
      </c>
      <c r="G43" s="182">
        <f>SUM(G36:G42)</f>
        <v>15003256</v>
      </c>
      <c r="H43" s="183"/>
      <c r="I43" s="198">
        <f>SUM(I36:I42)</f>
        <v>5775803.4623199999</v>
      </c>
      <c r="J43" s="200" t="s">
        <v>133</v>
      </c>
      <c r="K43" s="182">
        <f>SUM(K36:K42)</f>
        <v>7051984</v>
      </c>
      <c r="L43" s="183"/>
      <c r="M43" s="198">
        <f>SUM(M36:M42)</f>
        <v>2698935.3164799996</v>
      </c>
    </row>
    <row r="44" spans="1:17" ht="16" thickBot="1">
      <c r="A44" s="83" t="s">
        <v>178</v>
      </c>
      <c r="B44" s="84" t="s">
        <v>120</v>
      </c>
      <c r="C44" s="242">
        <f>-1294101.55+5012619.34-188849.13+230880.49</f>
        <v>3760549.1500000004</v>
      </c>
      <c r="D44" s="37"/>
      <c r="F44" s="189"/>
      <c r="G44" s="233">
        <v>15003256</v>
      </c>
      <c r="H44" s="190" t="s">
        <v>102</v>
      </c>
      <c r="I44" s="216">
        <f>I43/G43</f>
        <v>0.38496999999999998</v>
      </c>
      <c r="J44" s="195"/>
      <c r="K44" s="233">
        <v>7051984</v>
      </c>
      <c r="L44" s="190" t="s">
        <v>102</v>
      </c>
      <c r="M44" s="218">
        <f>M43/K43</f>
        <v>0.38271999999999995</v>
      </c>
    </row>
    <row r="45" spans="1:17">
      <c r="A45" s="212" t="s">
        <v>168</v>
      </c>
      <c r="B45" s="6" t="s">
        <v>115</v>
      </c>
      <c r="C45" s="122">
        <v>0</v>
      </c>
      <c r="D45" s="39"/>
      <c r="F45" s="387"/>
      <c r="G45" s="231">
        <f>G43-G44</f>
        <v>0</v>
      </c>
      <c r="H45" s="387"/>
      <c r="I45" s="387"/>
      <c r="J45" s="124"/>
      <c r="K45" s="231">
        <f>K43-K44</f>
        <v>0</v>
      </c>
      <c r="L45" s="387"/>
      <c r="M45" s="124"/>
    </row>
    <row r="46" spans="1:17" ht="19.5" customHeight="1" thickBot="1">
      <c r="A46" s="144" t="s">
        <v>169</v>
      </c>
      <c r="B46" s="6" t="s">
        <v>115</v>
      </c>
      <c r="C46" s="122">
        <v>0</v>
      </c>
      <c r="D46" s="40"/>
      <c r="F46" s="387"/>
      <c r="G46" s="387"/>
      <c r="H46" s="387"/>
      <c r="I46" s="387"/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114"/>
      <c r="H47" s="129" t="s">
        <v>35</v>
      </c>
      <c r="I47" s="13" t="s">
        <v>35</v>
      </c>
      <c r="J47" s="13" t="s">
        <v>63</v>
      </c>
      <c r="K47" s="127" t="s">
        <v>70</v>
      </c>
      <c r="L47" s="124"/>
      <c r="M47" s="387"/>
    </row>
    <row r="48" spans="1:17" ht="16" thickBot="1">
      <c r="A48" s="144" t="s">
        <v>222</v>
      </c>
      <c r="B48" s="6" t="s">
        <v>115</v>
      </c>
      <c r="C48" s="122">
        <v>5000</v>
      </c>
      <c r="D48" s="36"/>
      <c r="F48" s="50" t="s">
        <v>73</v>
      </c>
      <c r="G48" s="387"/>
      <c r="H48" s="130" t="s">
        <v>2</v>
      </c>
      <c r="I48" s="131" t="s">
        <v>3</v>
      </c>
      <c r="J48" s="131" t="s">
        <v>2</v>
      </c>
      <c r="K48" s="128" t="s">
        <v>3</v>
      </c>
      <c r="L48" s="387"/>
      <c r="M48" s="387"/>
    </row>
    <row r="49" spans="1:21">
      <c r="A49" s="7" t="s">
        <v>130</v>
      </c>
      <c r="B49" s="540" t="s">
        <v>152</v>
      </c>
      <c r="C49" s="122">
        <v>-13848.23</v>
      </c>
      <c r="D49" s="36"/>
      <c r="F49" s="387"/>
      <c r="G49" s="387"/>
      <c r="H49" s="151"/>
      <c r="I49" s="152"/>
      <c r="J49" s="152"/>
      <c r="K49" s="152"/>
      <c r="L49" s="126" t="s">
        <v>103</v>
      </c>
      <c r="M49" s="387"/>
    </row>
    <row r="50" spans="1:21">
      <c r="A50" s="7" t="s">
        <v>175</v>
      </c>
      <c r="B50" s="540" t="s">
        <v>152</v>
      </c>
      <c r="C50" s="122">
        <v>1019.48</v>
      </c>
      <c r="D50" s="37"/>
      <c r="F50" s="387" t="s">
        <v>136</v>
      </c>
      <c r="G50" s="387"/>
      <c r="H50" s="213">
        <f>K12</f>
        <v>6910910.9008770026</v>
      </c>
      <c r="I50" s="115">
        <f>I14</f>
        <v>1633554.4751679997</v>
      </c>
      <c r="J50" s="115">
        <f>L12</f>
        <v>3246738.0291230013</v>
      </c>
      <c r="K50" s="115">
        <f>J14</f>
        <v>672423.04483199981</v>
      </c>
      <c r="L50" s="132">
        <f>SUM(H50:K50)</f>
        <v>12463626.450000003</v>
      </c>
      <c r="M50" s="387"/>
    </row>
    <row r="51" spans="1:21" ht="16" thickBot="1">
      <c r="A51" s="7" t="s">
        <v>224</v>
      </c>
      <c r="B51" s="540" t="s">
        <v>152</v>
      </c>
      <c r="C51" s="122">
        <v>5275.89</v>
      </c>
      <c r="D51" s="36"/>
      <c r="F51" s="386" t="s">
        <v>109</v>
      </c>
      <c r="H51" s="213">
        <f>-I43</f>
        <v>-5775803.4623199999</v>
      </c>
      <c r="I51" s="115">
        <f>-I31</f>
        <v>-1754411.5862599998</v>
      </c>
      <c r="J51" s="115">
        <f>-M43</f>
        <v>-2698935.3164799996</v>
      </c>
      <c r="K51" s="115">
        <f>-M28</f>
        <v>-752490.26523999998</v>
      </c>
      <c r="L51" s="263">
        <f>SUM(H51:K51)</f>
        <v>-10981640.6303</v>
      </c>
    </row>
    <row r="52" spans="1:21" ht="16" thickBot="1">
      <c r="A52" s="22" t="s">
        <v>118</v>
      </c>
      <c r="B52" s="6"/>
      <c r="C52" s="100">
        <f>-C33</f>
        <v>110967.76000000001</v>
      </c>
      <c r="D52" s="33"/>
      <c r="F52" s="386" t="s">
        <v>86</v>
      </c>
      <c r="H52" s="235">
        <v>0</v>
      </c>
      <c r="I52" s="236">
        <v>0</v>
      </c>
      <c r="J52" s="236">
        <v>0</v>
      </c>
      <c r="K52" s="237">
        <v>0</v>
      </c>
      <c r="L52" s="215">
        <f>SUM(L50:L51)</f>
        <v>1481985.8197000027</v>
      </c>
    </row>
    <row r="53" spans="1:21" ht="16" thickBot="1">
      <c r="A53" s="384" t="s">
        <v>124</v>
      </c>
      <c r="B53" s="475" t="s">
        <v>316</v>
      </c>
      <c r="C53" s="314">
        <v>-11626247.34</v>
      </c>
      <c r="D53" s="36"/>
      <c r="F53" s="386" t="s">
        <v>71</v>
      </c>
      <c r="H53" s="125">
        <f>IFERROR(H50+H51+H52,0)</f>
        <v>1135107.4385570027</v>
      </c>
      <c r="I53" s="125">
        <f>I50+I51+I52</f>
        <v>-120857.11109200004</v>
      </c>
      <c r="J53" s="125">
        <f>IFERROR(J50+J51+J52,0)</f>
        <v>547802.71264300169</v>
      </c>
      <c r="K53" s="125">
        <f>K50+K51+K52</f>
        <v>-80067.220408000168</v>
      </c>
      <c r="L53" s="47">
        <f>SUM(H53:K53)</f>
        <v>1481985.8197000041</v>
      </c>
    </row>
    <row r="54" spans="1:21" ht="16" thickBot="1">
      <c r="A54" s="386" t="s">
        <v>191</v>
      </c>
      <c r="B54" s="6" t="s">
        <v>192</v>
      </c>
      <c r="C54" s="122">
        <v>-375000</v>
      </c>
      <c r="D54" s="36"/>
      <c r="F54" s="241" t="s">
        <v>182</v>
      </c>
      <c r="H54" s="386" t="s">
        <v>173</v>
      </c>
      <c r="I54" s="5">
        <f>SUM(H53:I53)</f>
        <v>1014250.3274650027</v>
      </c>
      <c r="J54" s="15" t="s">
        <v>174</v>
      </c>
      <c r="K54" s="386">
        <f>SUM(J53:K53)</f>
        <v>467735.49223500153</v>
      </c>
      <c r="L54" s="214">
        <f>ROUND(L52-L53,3)</f>
        <v>0</v>
      </c>
    </row>
    <row r="55" spans="1:21" ht="16.5" thickTop="1" thickBot="1">
      <c r="A55" s="82" t="s">
        <v>119</v>
      </c>
      <c r="B55" s="84"/>
      <c r="C55" s="160">
        <f>SUM(C43:C54)</f>
        <v>10162765.590000004</v>
      </c>
      <c r="D55" s="36"/>
      <c r="F55" s="399" t="s">
        <v>182</v>
      </c>
      <c r="H55" s="96"/>
    </row>
    <row r="56" spans="1:21" ht="16.5" thickTop="1" thickBot="1">
      <c r="A56" s="386" t="s">
        <v>121</v>
      </c>
      <c r="B56" s="6" t="s">
        <v>115</v>
      </c>
      <c r="C56" s="122">
        <v>-2818.53</v>
      </c>
      <c r="D56" s="36"/>
      <c r="F56" s="399" t="s">
        <v>183</v>
      </c>
      <c r="H56" s="157"/>
      <c r="I56" s="120"/>
      <c r="J56" s="120"/>
      <c r="K56" s="205"/>
      <c r="L56" s="120"/>
      <c r="T56" s="42"/>
    </row>
    <row r="57" spans="1:21">
      <c r="A57" s="386" t="s">
        <v>122</v>
      </c>
      <c r="B57" s="6" t="s">
        <v>115</v>
      </c>
      <c r="C57" s="122">
        <v>-2298.13</v>
      </c>
      <c r="D57" s="36"/>
      <c r="F57" s="551" t="s">
        <v>323</v>
      </c>
      <c r="G57" s="552" t="str">
        <f>IF(OR(AND(I54&gt;0,K54&gt;0),AND(I54&lt;0,K54&lt;0)),"OK","ERROR")</f>
        <v>OK</v>
      </c>
      <c r="H57" s="388" t="s">
        <v>314</v>
      </c>
      <c r="I57" s="389"/>
    </row>
    <row r="58" spans="1:21" ht="16" thickBot="1">
      <c r="A58" s="2" t="s">
        <v>125</v>
      </c>
      <c r="B58" s="2"/>
      <c r="C58" s="160">
        <f>SUM(C55:C57)</f>
        <v>10157648.930000003</v>
      </c>
      <c r="D58" s="36"/>
      <c r="H58" s="320" t="s">
        <v>176</v>
      </c>
      <c r="I58" s="321" t="s">
        <v>177</v>
      </c>
      <c r="J58" s="5"/>
    </row>
    <row r="59" spans="1:21" ht="16.5" thickTop="1" thickBot="1">
      <c r="A59" s="2"/>
      <c r="C59" s="101"/>
      <c r="D59" s="36"/>
      <c r="H59" s="351">
        <f>SUM('WA - Def-Amtz'!AL5:AL10,'WA - Def-Amtz'!AL41:AL46,'WA - Def-Amtz'!AL76:AL79,'ID - Def-Amtz '!AL5:AL10,'ID - Def-Amtz '!AL42:AL47,'ID - Def-Amtz '!AL75:AL80)</f>
        <v>7890436.3542569289</v>
      </c>
      <c r="I59" s="451">
        <f>SUM('WA - Def-Amtz'!AM5:AM10,'WA - Def-Amtz'!AM41:AM46,'WA - Def-Amtz'!AM76:AM79,'ID - Def-Amtz '!AM5:AM10,'ID - Def-Amtz '!AM42:AM47,'ID - Def-Amtz '!AM75:AM80)</f>
        <v>7890436.3542569289</v>
      </c>
      <c r="J59" s="386">
        <f>H51+I51+J51+K51</f>
        <v>-10981640.6303</v>
      </c>
    </row>
    <row r="60" spans="1:21" ht="16" thickBot="1">
      <c r="A60" s="9"/>
      <c r="B60" s="9" t="s">
        <v>95</v>
      </c>
      <c r="C60" s="125">
        <f>C58+C34</f>
        <v>12463626.450000003</v>
      </c>
      <c r="D60" s="36"/>
      <c r="G60" s="5"/>
      <c r="I60" s="340">
        <f>H59-I59</f>
        <v>0</v>
      </c>
    </row>
    <row r="61" spans="1:21">
      <c r="A61" s="2"/>
      <c r="B61" s="9" t="s">
        <v>160</v>
      </c>
      <c r="C61" s="352">
        <v>12463626.449999999</v>
      </c>
      <c r="D61" s="37"/>
    </row>
    <row r="62" spans="1:21">
      <c r="A62" s="9"/>
      <c r="B62" s="9" t="s">
        <v>159</v>
      </c>
      <c r="C62" s="259">
        <f>ROUND(C60-C61,2)</f>
        <v>0</v>
      </c>
      <c r="N62" s="5"/>
      <c r="O62" s="5"/>
      <c r="P62" s="21"/>
    </row>
    <row r="63" spans="1:21">
      <c r="A63" s="44"/>
      <c r="C63" s="353"/>
      <c r="D63" s="36"/>
      <c r="S63" s="6"/>
    </row>
    <row r="64" spans="1:21">
      <c r="A64" s="44"/>
      <c r="C64" s="8"/>
      <c r="D64" s="43"/>
      <c r="H64" s="96"/>
      <c r="N64" s="22"/>
      <c r="U64" s="2"/>
    </row>
    <row r="65" spans="1:21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4 I60">
    <cfRule type="cellIs" dxfId="758" priority="8" stopIfTrue="1" operator="equal">
      <formula>0</formula>
    </cfRule>
    <cfRule type="cellIs" dxfId="757" priority="9" stopIfTrue="1" operator="notEqual">
      <formula>0</formula>
    </cfRule>
  </conditionalFormatting>
  <conditionalFormatting sqref="G33 G45 K30 K45">
    <cfRule type="cellIs" dxfId="756" priority="7" operator="notEqual">
      <formula>0</formula>
    </cfRule>
  </conditionalFormatting>
  <conditionalFormatting sqref="C62">
    <cfRule type="cellIs" dxfId="755" priority="5" stopIfTrue="1" operator="equal">
      <formula>0</formula>
    </cfRule>
    <cfRule type="cellIs" dxfId="754" priority="6" stopIfTrue="1" operator="notEqual">
      <formula>0</formula>
    </cfRule>
  </conditionalFormatting>
  <conditionalFormatting sqref="K30">
    <cfRule type="cellIs" dxfId="753" priority="4" operator="notEqual">
      <formula>0</formula>
    </cfRule>
  </conditionalFormatting>
  <conditionalFormatting sqref="G57">
    <cfRule type="cellIs" dxfId="752" priority="3" operator="equal">
      <formula>"""ERROR"""</formula>
    </cfRule>
  </conditionalFormatting>
  <conditionalFormatting sqref="G57">
    <cfRule type="cellIs" dxfId="751" priority="2" operator="equal">
      <formula>"ERROR"</formula>
    </cfRule>
  </conditionalFormatting>
  <conditionalFormatting sqref="G57">
    <cfRule type="cellIs" dxfId="750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9">
    <tabColor rgb="FF00CC66"/>
    <pageSetUpPr fitToPage="1"/>
  </sheetPr>
  <dimension ref="A1:U1484"/>
  <sheetViews>
    <sheetView showGridLines="0" zoomScale="85" zoomScaleNormal="85" workbookViewId="0">
      <selection activeCell="C52" sqref="C52"/>
    </sheetView>
  </sheetViews>
  <sheetFormatPr defaultColWidth="16" defaultRowHeight="15.5"/>
  <cols>
    <col min="1" max="1" width="44.8984375" style="386" customWidth="1"/>
    <col min="2" max="2" width="25.59765625" style="386" customWidth="1"/>
    <col min="3" max="3" width="25.296875" style="386" customWidth="1"/>
    <col min="4" max="4" width="2.69921875" style="30" customWidth="1"/>
    <col min="5" max="5" width="4.296875" style="386" customWidth="1"/>
    <col min="6" max="6" width="26.69921875" style="386" customWidth="1"/>
    <col min="7" max="7" width="19" style="386" customWidth="1"/>
    <col min="8" max="8" width="22" style="386" customWidth="1"/>
    <col min="9" max="9" width="20.3984375" style="386" customWidth="1"/>
    <col min="10" max="10" width="26.296875" style="386" customWidth="1"/>
    <col min="11" max="11" width="21.8984375" style="386" bestFit="1" customWidth="1"/>
    <col min="12" max="12" width="23.8984375" style="386" customWidth="1"/>
    <col min="13" max="13" width="20.8984375" style="386" bestFit="1" customWidth="1"/>
    <col min="14" max="15" width="16" style="386"/>
    <col min="16" max="16" width="16.296875" style="386" bestFit="1" customWidth="1"/>
    <col min="17" max="16384" width="16" style="386"/>
  </cols>
  <sheetData>
    <row r="1" spans="1:13" ht="16" thickBot="1">
      <c r="A1" s="145" t="s">
        <v>64</v>
      </c>
      <c r="B1" s="29"/>
      <c r="C1" s="534">
        <f>Mar!C1+1</f>
        <v>201504</v>
      </c>
      <c r="F1" s="534">
        <f>C1</f>
        <v>201504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>
      <c r="A4" s="387" t="s">
        <v>88</v>
      </c>
      <c r="C4" s="314">
        <v>4449796.09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84109.93+607.22</f>
        <v>84717.15</v>
      </c>
      <c r="D5" s="34"/>
      <c r="F5" s="387"/>
      <c r="G5" s="387"/>
      <c r="H5" s="11"/>
      <c r="I5" s="166">
        <v>0.70840000000000003</v>
      </c>
      <c r="J5" s="166">
        <f>1-I5</f>
        <v>0.29159999999999997</v>
      </c>
      <c r="K5" s="447">
        <f>ROUND(G43/(G43+K43),4)</f>
        <v>0.68930000000000002</v>
      </c>
      <c r="L5" s="447">
        <f>1-K5</f>
        <v>0.31069999999999998</v>
      </c>
      <c r="M5" s="387"/>
    </row>
    <row r="6" spans="1:13" ht="16" thickBot="1">
      <c r="A6" s="49" t="s">
        <v>30</v>
      </c>
      <c r="C6" s="315">
        <f>-2267480.4-467400-71463-123000-138375-79335-99088.8</f>
        <v>-3246142.1999999997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" thickBot="1">
      <c r="A7" s="66" t="s">
        <v>140</v>
      </c>
      <c r="C7" s="100">
        <f>SUM(C4:C6)</f>
        <v>1288371.0400000005</v>
      </c>
      <c r="D7" s="35"/>
      <c r="F7" s="167" t="s">
        <v>139</v>
      </c>
      <c r="G7" s="167"/>
      <c r="H7" s="125">
        <f>C34</f>
        <v>2253998.4500000002</v>
      </c>
      <c r="I7" s="168">
        <f>H7*I5</f>
        <v>1596732.5019800002</v>
      </c>
      <c r="J7" s="168">
        <f>H7*J5</f>
        <v>657265.94802000001</v>
      </c>
      <c r="K7" s="168"/>
      <c r="L7" s="168"/>
      <c r="M7" s="387"/>
    </row>
    <row r="8" spans="1:13">
      <c r="A8" s="386" t="s">
        <v>89</v>
      </c>
      <c r="C8" s="314">
        <v>212099.84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>
      <c r="A9" s="387" t="s">
        <v>90</v>
      </c>
      <c r="C9" s="314">
        <f>6253.35+31.87</f>
        <v>6285.22</v>
      </c>
      <c r="D9" s="36"/>
      <c r="F9" s="167" t="s">
        <v>119</v>
      </c>
      <c r="G9" s="387"/>
      <c r="H9" s="168">
        <f>C55</f>
        <v>3120358.7599999979</v>
      </c>
      <c r="I9" s="168"/>
      <c r="J9" s="168"/>
      <c r="K9" s="168">
        <f>H9*K5</f>
        <v>2150863.2932679988</v>
      </c>
      <c r="L9" s="168">
        <f>H9*L5</f>
        <v>969495.4667319993</v>
      </c>
      <c r="M9" s="387"/>
    </row>
    <row r="10" spans="1:13">
      <c r="A10" s="49" t="s">
        <v>91</v>
      </c>
      <c r="C10" s="315">
        <v>-3367.18</v>
      </c>
      <c r="D10" s="36"/>
      <c r="F10" s="170" t="s">
        <v>44</v>
      </c>
      <c r="G10" s="387"/>
      <c r="H10" s="168">
        <f>C56</f>
        <v>52860.99</v>
      </c>
      <c r="I10" s="168"/>
      <c r="J10" s="168"/>
      <c r="K10" s="168">
        <f>H10</f>
        <v>52860.99</v>
      </c>
      <c r="L10" s="168"/>
      <c r="M10" s="387"/>
    </row>
    <row r="11" spans="1:13">
      <c r="A11" s="66" t="s">
        <v>145</v>
      </c>
      <c r="C11" s="100">
        <f>SUM(C8:C10)</f>
        <v>215017.88</v>
      </c>
      <c r="D11" s="36"/>
      <c r="F11" s="170" t="s">
        <v>45</v>
      </c>
      <c r="G11" s="387"/>
      <c r="H11" s="171">
        <f>C57</f>
        <v>23919.119999999999</v>
      </c>
      <c r="I11" s="168"/>
      <c r="J11" s="168"/>
      <c r="K11" s="171"/>
      <c r="L11" s="171">
        <f>H11</f>
        <v>23919.119999999999</v>
      </c>
      <c r="M11" s="387"/>
    </row>
    <row r="12" spans="1:13">
      <c r="A12" s="386" t="s">
        <v>165</v>
      </c>
      <c r="C12" s="314">
        <f>7059.71+329244.94</f>
        <v>336304.65</v>
      </c>
      <c r="D12" s="36"/>
      <c r="F12" s="170" t="s">
        <v>138</v>
      </c>
      <c r="G12" s="387"/>
      <c r="H12" s="168">
        <f>H9+H10+H11</f>
        <v>3197138.8699999982</v>
      </c>
      <c r="I12" s="168"/>
      <c r="J12" s="168"/>
      <c r="K12" s="168">
        <f>SUM(K9:K11)</f>
        <v>2203724.2832679991</v>
      </c>
      <c r="L12" s="168">
        <f>SUM(L9:L11)</f>
        <v>993414.5867319993</v>
      </c>
      <c r="M12" s="387"/>
    </row>
    <row r="13" spans="1:13" ht="16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" thickBot="1">
      <c r="A14" s="66" t="s">
        <v>92</v>
      </c>
      <c r="C14" s="100">
        <f>SUM(C12:C13)</f>
        <v>336304.65</v>
      </c>
      <c r="D14" s="37"/>
      <c r="F14" s="50" t="s">
        <v>69</v>
      </c>
      <c r="G14" s="176"/>
      <c r="H14" s="125">
        <f>H12+H7</f>
        <v>5451137.3199999984</v>
      </c>
      <c r="I14" s="177">
        <f>SUM(I7:I13)</f>
        <v>1596732.5019800002</v>
      </c>
      <c r="J14" s="177">
        <f>SUM(J7:J13)</f>
        <v>657265.94802000001</v>
      </c>
      <c r="K14" s="177">
        <f>K12</f>
        <v>2203724.2832679991</v>
      </c>
      <c r="L14" s="177">
        <f>L12</f>
        <v>993414.5867319993</v>
      </c>
      <c r="M14" s="387"/>
    </row>
    <row r="15" spans="1:13">
      <c r="A15" s="386" t="s">
        <v>184</v>
      </c>
      <c r="C15" s="314">
        <f>13304.43+423777.34</f>
        <v>437081.77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6" thickBot="1">
      <c r="A17" s="66" t="s">
        <v>186</v>
      </c>
      <c r="C17" s="100">
        <f>SUM(C15:C16)</f>
        <v>437081.77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" thickBot="1">
      <c r="A18" s="386" t="s">
        <v>163</v>
      </c>
      <c r="C18" s="314">
        <f>516.59+6705.18+69043.93</f>
        <v>76265.7</v>
      </c>
      <c r="D18" s="36"/>
      <c r="F18" s="704" t="s">
        <v>134</v>
      </c>
      <c r="G18" s="705"/>
      <c r="H18" s="705"/>
      <c r="I18" s="706"/>
      <c r="J18" s="704" t="s">
        <v>135</v>
      </c>
      <c r="K18" s="705"/>
      <c r="L18" s="705"/>
      <c r="M18" s="706"/>
    </row>
    <row r="19" spans="1:13">
      <c r="A19" s="46" t="s">
        <v>164</v>
      </c>
      <c r="C19" s="315">
        <v>20822.05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" thickBot="1">
      <c r="A20" s="67" t="s">
        <v>93</v>
      </c>
      <c r="C20" s="100">
        <f>SUM(C18:C19)</f>
        <v>97087.75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>
      <c r="A23" s="209" t="s">
        <v>181</v>
      </c>
      <c r="C23" s="100">
        <v>0</v>
      </c>
      <c r="D23" s="36"/>
      <c r="F23" s="201" t="s">
        <v>37</v>
      </c>
      <c r="G23" s="264">
        <v>7714478</v>
      </c>
      <c r="H23" s="391">
        <v>0.1183</v>
      </c>
      <c r="I23" s="197">
        <f t="shared" ref="I23:I30" si="0">G23*H23</f>
        <v>912622.74739999999</v>
      </c>
      <c r="J23" s="201" t="s">
        <v>37</v>
      </c>
      <c r="K23" s="264">
        <v>3621515</v>
      </c>
      <c r="L23" s="391">
        <v>0.10721</v>
      </c>
      <c r="M23" s="197">
        <f>K23*L23</f>
        <v>388262.62315</v>
      </c>
    </row>
    <row r="24" spans="1:13">
      <c r="A24" s="209" t="s">
        <v>187</v>
      </c>
      <c r="C24" s="314">
        <v>0</v>
      </c>
      <c r="D24" s="36"/>
      <c r="F24" s="201" t="s">
        <v>38</v>
      </c>
      <c r="G24" s="264">
        <v>3448422</v>
      </c>
      <c r="H24" s="391">
        <v>0.11607000000000001</v>
      </c>
      <c r="I24" s="197">
        <f t="shared" si="0"/>
        <v>400258.34153999999</v>
      </c>
      <c r="J24" s="201" t="s">
        <v>38</v>
      </c>
      <c r="K24" s="264">
        <v>1633221</v>
      </c>
      <c r="L24" s="391">
        <v>0.10721</v>
      </c>
      <c r="M24" s="197">
        <f t="shared" ref="M24:M27" si="1">K24*L24</f>
        <v>175097.62341</v>
      </c>
    </row>
    <row r="25" spans="1:13">
      <c r="A25" s="209" t="s">
        <v>190</v>
      </c>
      <c r="C25" s="316">
        <v>0</v>
      </c>
      <c r="D25" s="36"/>
      <c r="F25" s="201" t="s">
        <v>39</v>
      </c>
      <c r="G25" s="264">
        <v>0</v>
      </c>
      <c r="H25" s="391">
        <v>0.11607000000000001</v>
      </c>
      <c r="I25" s="197">
        <f t="shared" si="0"/>
        <v>0</v>
      </c>
      <c r="J25" s="201" t="s">
        <v>39</v>
      </c>
      <c r="K25" s="264">
        <v>5610</v>
      </c>
      <c r="L25" s="391">
        <v>0.10721</v>
      </c>
      <c r="M25" s="197">
        <f t="shared" si="1"/>
        <v>601.44809999999995</v>
      </c>
    </row>
    <row r="26" spans="1:13">
      <c r="A26" s="210" t="s">
        <v>189</v>
      </c>
      <c r="C26" s="317">
        <v>0</v>
      </c>
      <c r="D26" s="36"/>
      <c r="F26" s="201" t="s">
        <v>40</v>
      </c>
      <c r="G26" s="264">
        <v>432834</v>
      </c>
      <c r="H26" s="391">
        <v>9.783E-2</v>
      </c>
      <c r="I26" s="197">
        <f t="shared" si="0"/>
        <v>42344.150220000003</v>
      </c>
      <c r="J26" s="201" t="s">
        <v>40</v>
      </c>
      <c r="K26" s="264">
        <v>0</v>
      </c>
      <c r="L26" s="391">
        <v>0.10721</v>
      </c>
      <c r="M26" s="197">
        <f t="shared" si="1"/>
        <v>0</v>
      </c>
    </row>
    <row r="27" spans="1:13">
      <c r="A27" s="65" t="s">
        <v>96</v>
      </c>
      <c r="C27" s="100">
        <f>SUM(C23:C26)</f>
        <v>0</v>
      </c>
      <c r="D27" s="36"/>
      <c r="F27" s="201" t="s">
        <v>41</v>
      </c>
      <c r="G27" s="264">
        <v>49631</v>
      </c>
      <c r="H27" s="391">
        <v>9.783E-2</v>
      </c>
      <c r="I27" s="197">
        <f t="shared" si="0"/>
        <v>4855.4007300000003</v>
      </c>
      <c r="J27" s="201" t="s">
        <v>41</v>
      </c>
      <c r="K27" s="264">
        <v>0</v>
      </c>
      <c r="L27" s="391">
        <v>0.10721</v>
      </c>
      <c r="M27" s="197">
        <f t="shared" si="1"/>
        <v>0</v>
      </c>
    </row>
    <row r="28" spans="1:13" ht="16" thickBot="1">
      <c r="A28" s="211" t="s">
        <v>150</v>
      </c>
      <c r="C28" s="314">
        <v>0</v>
      </c>
      <c r="D28" s="37"/>
      <c r="F28" s="201" t="s">
        <v>42</v>
      </c>
      <c r="G28" s="264">
        <v>0</v>
      </c>
      <c r="H28" s="391">
        <v>6.9959999999999994E-2</v>
      </c>
      <c r="I28" s="197">
        <f t="shared" si="0"/>
        <v>0</v>
      </c>
      <c r="J28" s="200" t="s">
        <v>127</v>
      </c>
      <c r="K28" s="182">
        <f>SUM(K23:K27)</f>
        <v>5260346</v>
      </c>
      <c r="L28" s="183"/>
      <c r="M28" s="198">
        <f>SUM(M23:M27)</f>
        <v>563961.69466000004</v>
      </c>
    </row>
    <row r="29" spans="1:13" ht="16.5" thickTop="1" thickBot="1">
      <c r="A29" s="211" t="s">
        <v>167</v>
      </c>
      <c r="B29" s="387"/>
      <c r="C29" s="314">
        <v>0</v>
      </c>
      <c r="D29" s="36"/>
      <c r="F29" s="201" t="s">
        <v>43</v>
      </c>
      <c r="G29" s="264">
        <v>81076</v>
      </c>
      <c r="H29" s="391">
        <v>6.9959999999999994E-2</v>
      </c>
      <c r="I29" s="197">
        <f t="shared" si="0"/>
        <v>5672.0769599999994</v>
      </c>
      <c r="J29" s="200"/>
      <c r="K29" s="232">
        <v>5260346</v>
      </c>
      <c r="L29" s="188" t="s">
        <v>102</v>
      </c>
      <c r="M29" s="467">
        <f>M28/K28</f>
        <v>0.10721000000000001</v>
      </c>
    </row>
    <row r="30" spans="1:13" ht="16" thickBot="1">
      <c r="A30" s="2" t="s">
        <v>111</v>
      </c>
      <c r="C30" s="125">
        <f>C7+C11+C14+C17+C20+C22+C27+C28+C29</f>
        <v>2373863.0900000003</v>
      </c>
      <c r="D30" s="37"/>
      <c r="F30" s="201" t="s">
        <v>74</v>
      </c>
      <c r="G30" s="264">
        <v>2436951</v>
      </c>
      <c r="H30" s="391">
        <v>5.4000000000000001E-4</v>
      </c>
      <c r="I30" s="197">
        <f t="shared" si="0"/>
        <v>1315.95354</v>
      </c>
      <c r="J30" s="201"/>
      <c r="K30" s="231">
        <f>K28-K29</f>
        <v>0</v>
      </c>
      <c r="L30" s="183"/>
      <c r="M30" s="199"/>
    </row>
    <row r="31" spans="1:13" ht="16" thickBot="1">
      <c r="A31" s="386" t="s">
        <v>112</v>
      </c>
      <c r="C31" s="314">
        <v>-8040.22</v>
      </c>
      <c r="D31" s="39"/>
      <c r="F31" s="200" t="s">
        <v>127</v>
      </c>
      <c r="G31" s="182">
        <f>SUM(G23:G30)</f>
        <v>14163392</v>
      </c>
      <c r="H31" s="7"/>
      <c r="I31" s="198">
        <f>SUM(I23:I30)</f>
        <v>1367068.6703899999</v>
      </c>
      <c r="J31" s="153"/>
      <c r="K31" s="7"/>
      <c r="L31" s="183"/>
      <c r="M31" s="199"/>
    </row>
    <row r="32" spans="1:13" ht="16" thickTop="1">
      <c r="A32" s="2" t="s">
        <v>116</v>
      </c>
      <c r="B32" s="2" t="s">
        <v>117</v>
      </c>
      <c r="C32" s="240">
        <f>C30+C31</f>
        <v>2365822.87</v>
      </c>
      <c r="D32" s="40"/>
      <c r="F32" s="187"/>
      <c r="G32" s="232">
        <v>14163392</v>
      </c>
      <c r="H32" s="188" t="s">
        <v>102</v>
      </c>
      <c r="I32" s="217">
        <f>I31/G31</f>
        <v>9.6521276145573029E-2</v>
      </c>
      <c r="J32" s="193"/>
      <c r="K32" s="194"/>
      <c r="L32" s="7"/>
      <c r="M32" s="191"/>
    </row>
    <row r="33" spans="1:17" ht="16" thickBot="1">
      <c r="A33" s="386" t="s">
        <v>113</v>
      </c>
      <c r="C33" s="313">
        <f>-C5-C9-C13-C16-C19</f>
        <v>-111824.42</v>
      </c>
      <c r="D33" s="36"/>
      <c r="F33" s="153"/>
      <c r="G33" s="231">
        <f>G31-G32</f>
        <v>0</v>
      </c>
      <c r="H33" s="7"/>
      <c r="I33" s="98"/>
      <c r="J33" s="193"/>
      <c r="K33" s="194"/>
      <c r="L33" s="7"/>
      <c r="M33" s="98"/>
    </row>
    <row r="34" spans="1:17" ht="16" thickBot="1">
      <c r="A34" s="2" t="s">
        <v>114</v>
      </c>
      <c r="C34" s="125">
        <f>SUM(C32:C33)</f>
        <v>2253998.4500000002</v>
      </c>
      <c r="D34" s="36"/>
      <c r="F34" s="185"/>
      <c r="G34" s="12"/>
      <c r="H34" s="12"/>
      <c r="I34" s="186"/>
      <c r="J34" s="193"/>
      <c r="K34" s="192"/>
      <c r="L34" s="7"/>
      <c r="M34" s="98"/>
    </row>
    <row r="35" spans="1:17" ht="18" customHeight="1">
      <c r="A35" s="2"/>
      <c r="C35" s="101"/>
      <c r="D35" s="36"/>
      <c r="F35" s="200" t="s">
        <v>128</v>
      </c>
      <c r="G35" s="7"/>
      <c r="H35" s="7"/>
      <c r="I35" s="98"/>
      <c r="J35" s="200" t="s">
        <v>128</v>
      </c>
      <c r="K35" s="702"/>
      <c r="L35" s="702"/>
      <c r="M35" s="703"/>
    </row>
    <row r="36" spans="1:17">
      <c r="A36" s="16" t="s">
        <v>94</v>
      </c>
      <c r="B36" s="2"/>
      <c r="C36" s="100"/>
      <c r="D36" s="36"/>
      <c r="F36" s="201" t="s">
        <v>37</v>
      </c>
      <c r="G36" s="265">
        <f>G23</f>
        <v>7714478</v>
      </c>
      <c r="H36" s="391">
        <v>0.38496999999999998</v>
      </c>
      <c r="I36" s="197">
        <f t="shared" ref="I36:I42" si="2">G36*H36</f>
        <v>2969842.5956599996</v>
      </c>
      <c r="J36" s="201" t="s">
        <v>37</v>
      </c>
      <c r="K36" s="265">
        <f>K23</f>
        <v>3621515</v>
      </c>
      <c r="L36" s="391">
        <v>0.38272</v>
      </c>
      <c r="M36" s="197">
        <f t="shared" ref="M36:M42" si="3">K36*L36</f>
        <v>1386026.2208</v>
      </c>
      <c r="P36" s="275"/>
      <c r="Q36" s="275"/>
    </row>
    <row r="37" spans="1:17">
      <c r="A37" s="7" t="s">
        <v>129</v>
      </c>
      <c r="B37" s="540" t="s">
        <v>115</v>
      </c>
      <c r="C37" s="122">
        <v>11768695.66</v>
      </c>
      <c r="D37" s="36"/>
      <c r="F37" s="201" t="s">
        <v>38</v>
      </c>
      <c r="G37" s="265">
        <f t="shared" ref="G37:G42" si="4">G24</f>
        <v>3448422</v>
      </c>
      <c r="H37" s="391">
        <v>0.38496999999999998</v>
      </c>
      <c r="I37" s="197">
        <f t="shared" si="2"/>
        <v>1327539.01734</v>
      </c>
      <c r="J37" s="201" t="s">
        <v>38</v>
      </c>
      <c r="K37" s="265">
        <f>K24</f>
        <v>1633221</v>
      </c>
      <c r="L37" s="391">
        <v>0.38272</v>
      </c>
      <c r="M37" s="197">
        <f t="shared" si="3"/>
        <v>625066.34112</v>
      </c>
      <c r="P37" s="275"/>
      <c r="Q37" s="275"/>
    </row>
    <row r="38" spans="1:17">
      <c r="A38" s="144" t="s">
        <v>14</v>
      </c>
      <c r="B38" s="540" t="s">
        <v>115</v>
      </c>
      <c r="C38" s="122"/>
      <c r="D38" s="36"/>
      <c r="F38" s="201" t="s">
        <v>39</v>
      </c>
      <c r="G38" s="265">
        <f t="shared" si="4"/>
        <v>0</v>
      </c>
      <c r="H38" s="391">
        <v>0.38496999999999998</v>
      </c>
      <c r="I38" s="197">
        <f t="shared" si="2"/>
        <v>0</v>
      </c>
      <c r="J38" s="201" t="s">
        <v>39</v>
      </c>
      <c r="K38" s="265">
        <f>K25</f>
        <v>5610</v>
      </c>
      <c r="L38" s="391">
        <v>0.38272</v>
      </c>
      <c r="M38" s="197">
        <f t="shared" si="3"/>
        <v>2147.0592000000001</v>
      </c>
      <c r="P38" s="275"/>
      <c r="Q38" s="275"/>
    </row>
    <row r="39" spans="1:17">
      <c r="A39" s="7" t="s">
        <v>146</v>
      </c>
      <c r="B39" s="540" t="s">
        <v>147</v>
      </c>
      <c r="C39" s="122">
        <v>-32935.440000000002</v>
      </c>
      <c r="D39" s="36"/>
      <c r="F39" s="201" t="s">
        <v>40</v>
      </c>
      <c r="G39" s="265">
        <f t="shared" si="4"/>
        <v>432834</v>
      </c>
      <c r="H39" s="391">
        <v>0.38496999999999998</v>
      </c>
      <c r="I39" s="197">
        <f t="shared" si="2"/>
        <v>166628.10498</v>
      </c>
      <c r="J39" s="201" t="s">
        <v>40</v>
      </c>
      <c r="K39" s="265">
        <f>K26</f>
        <v>0</v>
      </c>
      <c r="L39" s="391">
        <v>0.38272</v>
      </c>
      <c r="M39" s="197">
        <f t="shared" si="3"/>
        <v>0</v>
      </c>
      <c r="P39" s="275"/>
      <c r="Q39" s="275"/>
    </row>
    <row r="40" spans="1:17">
      <c r="A40" s="7" t="s">
        <v>131</v>
      </c>
      <c r="B40" s="540" t="s">
        <v>132</v>
      </c>
      <c r="C40" s="122">
        <v>230209.5</v>
      </c>
      <c r="D40" s="36"/>
      <c r="F40" s="201" t="s">
        <v>41</v>
      </c>
      <c r="G40" s="265">
        <f t="shared" si="4"/>
        <v>49631</v>
      </c>
      <c r="H40" s="391">
        <v>0.38496999999999998</v>
      </c>
      <c r="I40" s="197">
        <f t="shared" si="2"/>
        <v>19106.446069999998</v>
      </c>
      <c r="J40" s="201" t="s">
        <v>41</v>
      </c>
      <c r="K40" s="265">
        <f>K27</f>
        <v>0</v>
      </c>
      <c r="L40" s="391">
        <v>0.38272</v>
      </c>
      <c r="M40" s="197">
        <f t="shared" si="3"/>
        <v>0</v>
      </c>
      <c r="P40" s="275"/>
      <c r="Q40" s="275"/>
    </row>
    <row r="41" spans="1:17">
      <c r="A41" s="7" t="s">
        <v>153</v>
      </c>
      <c r="B41" s="6" t="s">
        <v>155</v>
      </c>
      <c r="C41" s="122">
        <v>-151668.67000000001</v>
      </c>
      <c r="D41" s="36"/>
      <c r="F41" s="201" t="s">
        <v>42</v>
      </c>
      <c r="G41" s="265">
        <f t="shared" si="4"/>
        <v>0</v>
      </c>
      <c r="H41" s="391">
        <v>0.38496999999999998</v>
      </c>
      <c r="I41" s="197">
        <f t="shared" si="2"/>
        <v>0</v>
      </c>
      <c r="J41" s="201" t="s">
        <v>42</v>
      </c>
      <c r="K41" s="264">
        <v>0</v>
      </c>
      <c r="L41" s="391">
        <v>0.38272</v>
      </c>
      <c r="M41" s="197">
        <f t="shared" si="3"/>
        <v>0</v>
      </c>
      <c r="P41" s="275"/>
      <c r="Q41" s="275"/>
    </row>
    <row r="42" spans="1:17" ht="16" thickBot="1">
      <c r="A42" s="7" t="s">
        <v>179</v>
      </c>
      <c r="B42" s="540" t="s">
        <v>180</v>
      </c>
      <c r="C42" s="122">
        <v>331921.36</v>
      </c>
      <c r="D42" s="37"/>
      <c r="F42" s="201" t="s">
        <v>43</v>
      </c>
      <c r="G42" s="265">
        <f t="shared" si="4"/>
        <v>81076</v>
      </c>
      <c r="H42" s="391">
        <v>0.38496999999999998</v>
      </c>
      <c r="I42" s="197">
        <f t="shared" si="2"/>
        <v>31211.827719999997</v>
      </c>
      <c r="J42" s="201" t="s">
        <v>43</v>
      </c>
      <c r="K42" s="266">
        <v>25684</v>
      </c>
      <c r="L42" s="391">
        <v>0.38272</v>
      </c>
      <c r="M42" s="197">
        <f t="shared" si="3"/>
        <v>9829.7804799999994</v>
      </c>
      <c r="P42" s="275"/>
      <c r="Q42" s="275"/>
    </row>
    <row r="43" spans="1:17" ht="16" thickBot="1">
      <c r="A43" s="85" t="s">
        <v>123</v>
      </c>
      <c r="B43" s="12"/>
      <c r="C43" s="125">
        <f>SUM(C37:C42)</f>
        <v>12146222.41</v>
      </c>
      <c r="D43" s="36"/>
      <c r="F43" s="200" t="s">
        <v>133</v>
      </c>
      <c r="G43" s="182">
        <f>SUM(G36:G42)</f>
        <v>11726441</v>
      </c>
      <c r="H43" s="183"/>
      <c r="I43" s="198">
        <f>SUM(I36:I42)</f>
        <v>4514327.9917700002</v>
      </c>
      <c r="J43" s="200" t="s">
        <v>133</v>
      </c>
      <c r="K43" s="182">
        <f>SUM(K36:K42)</f>
        <v>5286030</v>
      </c>
      <c r="L43" s="183"/>
      <c r="M43" s="198">
        <f>SUM(M36:M42)</f>
        <v>2023069.4016</v>
      </c>
    </row>
    <row r="44" spans="1:17" ht="16" thickBot="1">
      <c r="A44" s="83" t="s">
        <v>178</v>
      </c>
      <c r="B44" s="84" t="s">
        <v>120</v>
      </c>
      <c r="C44" s="242">
        <f>1840001.97-2016451.52</f>
        <v>-176449.55000000005</v>
      </c>
      <c r="D44" s="37"/>
      <c r="F44" s="189"/>
      <c r="G44" s="233">
        <v>11726441</v>
      </c>
      <c r="H44" s="190" t="s">
        <v>102</v>
      </c>
      <c r="I44" s="216">
        <f>I43/G43</f>
        <v>0.38497000000000003</v>
      </c>
      <c r="J44" s="195"/>
      <c r="K44" s="233">
        <v>5286030</v>
      </c>
      <c r="L44" s="190" t="s">
        <v>102</v>
      </c>
      <c r="M44" s="218">
        <f>M43/K43</f>
        <v>0.38272</v>
      </c>
    </row>
    <row r="45" spans="1:17">
      <c r="A45" s="212" t="s">
        <v>168</v>
      </c>
      <c r="B45" s="6" t="s">
        <v>115</v>
      </c>
      <c r="C45" s="122">
        <v>0</v>
      </c>
      <c r="D45" s="39"/>
      <c r="F45" s="387"/>
      <c r="G45" s="231">
        <f>G43-G44</f>
        <v>0</v>
      </c>
      <c r="H45" s="387"/>
      <c r="I45" s="387"/>
      <c r="J45" s="124"/>
      <c r="K45" s="231">
        <f>K43-K44</f>
        <v>0</v>
      </c>
      <c r="L45" s="387"/>
      <c r="M45" s="124"/>
    </row>
    <row r="46" spans="1:17" ht="19.5" customHeight="1" thickBot="1">
      <c r="A46" s="144" t="s">
        <v>169</v>
      </c>
      <c r="B46" s="6" t="s">
        <v>115</v>
      </c>
      <c r="C46" s="122">
        <v>0</v>
      </c>
      <c r="D46" s="40"/>
      <c r="F46" s="387"/>
      <c r="G46" s="387"/>
      <c r="H46" s="387"/>
      <c r="I46" s="387"/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114"/>
      <c r="H47" s="129" t="s">
        <v>35</v>
      </c>
      <c r="I47" s="13" t="s">
        <v>35</v>
      </c>
      <c r="J47" s="13" t="s">
        <v>63</v>
      </c>
      <c r="K47" s="127" t="s">
        <v>70</v>
      </c>
      <c r="L47" s="124"/>
      <c r="M47" s="387"/>
    </row>
    <row r="48" spans="1:17" ht="16" thickBot="1">
      <c r="A48" s="144" t="s">
        <v>348</v>
      </c>
      <c r="B48" s="6" t="s">
        <v>115</v>
      </c>
      <c r="C48" s="122">
        <v>30097.19</v>
      </c>
      <c r="D48" s="36"/>
      <c r="F48" s="50" t="s">
        <v>73</v>
      </c>
      <c r="G48" s="387"/>
      <c r="H48" s="130" t="s">
        <v>2</v>
      </c>
      <c r="I48" s="131" t="s">
        <v>3</v>
      </c>
      <c r="J48" s="131" t="s">
        <v>2</v>
      </c>
      <c r="K48" s="128" t="s">
        <v>3</v>
      </c>
      <c r="L48" s="387"/>
      <c r="M48" s="387"/>
    </row>
    <row r="49" spans="1:21">
      <c r="A49" s="7" t="s">
        <v>130</v>
      </c>
      <c r="B49" s="540" t="s">
        <v>152</v>
      </c>
      <c r="C49" s="122">
        <v>23155.67</v>
      </c>
      <c r="D49" s="36"/>
      <c r="F49" s="387"/>
      <c r="G49" s="387"/>
      <c r="H49" s="151"/>
      <c r="I49" s="152"/>
      <c r="J49" s="152"/>
      <c r="K49" s="152"/>
      <c r="L49" s="126" t="s">
        <v>103</v>
      </c>
      <c r="M49" s="387"/>
    </row>
    <row r="50" spans="1:21">
      <c r="A50" s="7" t="s">
        <v>349</v>
      </c>
      <c r="B50" s="540" t="s">
        <v>152</v>
      </c>
      <c r="C50" s="122">
        <v>1161.79</v>
      </c>
      <c r="D50" s="37"/>
      <c r="F50" s="387" t="s">
        <v>136</v>
      </c>
      <c r="G50" s="387"/>
      <c r="H50" s="213">
        <f>K12</f>
        <v>2203724.2832679991</v>
      </c>
      <c r="I50" s="115">
        <f>I14</f>
        <v>1596732.5019800002</v>
      </c>
      <c r="J50" s="115">
        <f>L12</f>
        <v>993414.5867319993</v>
      </c>
      <c r="K50" s="115">
        <f>J14</f>
        <v>657265.94802000001</v>
      </c>
      <c r="L50" s="132">
        <f>SUM(H50:K50)</f>
        <v>5451137.3199999984</v>
      </c>
      <c r="M50" s="387"/>
    </row>
    <row r="51" spans="1:21" ht="16" thickBot="1">
      <c r="A51" s="7" t="s">
        <v>224</v>
      </c>
      <c r="B51" s="540" t="s">
        <v>152</v>
      </c>
      <c r="C51" s="122">
        <v>4029.24</v>
      </c>
      <c r="D51" s="36"/>
      <c r="F51" s="386" t="s">
        <v>109</v>
      </c>
      <c r="H51" s="213">
        <f>-I43</f>
        <v>-4514327.9917700002</v>
      </c>
      <c r="I51" s="115">
        <f>-I31</f>
        <v>-1367068.6703899999</v>
      </c>
      <c r="J51" s="115">
        <f>-M43</f>
        <v>-2023069.4016</v>
      </c>
      <c r="K51" s="115">
        <f>-M28</f>
        <v>-563961.69466000004</v>
      </c>
      <c r="L51" s="263">
        <f>SUM(H51:K51)</f>
        <v>-8468427.7584199999</v>
      </c>
    </row>
    <row r="52" spans="1:21" ht="16" thickBot="1">
      <c r="A52" s="22" t="s">
        <v>118</v>
      </c>
      <c r="B52" s="6"/>
      <c r="C52" s="100">
        <v>111824.42</v>
      </c>
      <c r="D52" s="33"/>
      <c r="F52" s="386" t="s">
        <v>86</v>
      </c>
      <c r="H52" s="235">
        <v>0</v>
      </c>
      <c r="I52" s="236">
        <v>0</v>
      </c>
      <c r="J52" s="236">
        <v>0</v>
      </c>
      <c r="K52" s="237">
        <v>0</v>
      </c>
      <c r="L52" s="215">
        <f>SUM(L50:L51)</f>
        <v>-3017290.4384200014</v>
      </c>
    </row>
    <row r="53" spans="1:21" ht="16" thickBot="1">
      <c r="A53" s="384" t="s">
        <v>124</v>
      </c>
      <c r="B53" s="475" t="s">
        <v>316</v>
      </c>
      <c r="C53" s="314">
        <f>-6074186.22-29670.75-2540825.44</f>
        <v>-8644682.4100000001</v>
      </c>
      <c r="D53" s="36"/>
      <c r="F53" s="386" t="s">
        <v>71</v>
      </c>
      <c r="H53" s="125">
        <f>IFERROR(H50+H51+H52,0)</f>
        <v>-2310603.7085020011</v>
      </c>
      <c r="I53" s="125">
        <f>I50+I51+I52</f>
        <v>229663.83159000031</v>
      </c>
      <c r="J53" s="125">
        <f>IFERROR(J50+J51+J52,0)</f>
        <v>-1029654.8148680007</v>
      </c>
      <c r="K53" s="125">
        <f>K50+K51+K52</f>
        <v>93304.253359999973</v>
      </c>
      <c r="L53" s="47">
        <f>SUM(H53:K53)</f>
        <v>-3017290.4384200014</v>
      </c>
    </row>
    <row r="54" spans="1:21" ht="16" thickBot="1">
      <c r="A54" s="386" t="s">
        <v>191</v>
      </c>
      <c r="B54" s="6" t="s">
        <v>192</v>
      </c>
      <c r="C54" s="122">
        <v>-375000</v>
      </c>
      <c r="D54" s="36"/>
      <c r="F54" s="241" t="s">
        <v>182</v>
      </c>
      <c r="H54" s="386" t="s">
        <v>173</v>
      </c>
      <c r="I54" s="5">
        <f>SUM(H53:I53)</f>
        <v>-2080939.8769120008</v>
      </c>
      <c r="J54" s="15" t="s">
        <v>174</v>
      </c>
      <c r="K54" s="386">
        <f>SUM(J53:K53)</f>
        <v>-936350.56150800071</v>
      </c>
      <c r="L54" s="214">
        <f>ROUND(L52-L53,3)</f>
        <v>0</v>
      </c>
    </row>
    <row r="55" spans="1:21" ht="16.5" thickTop="1" thickBot="1">
      <c r="A55" s="82" t="s">
        <v>119</v>
      </c>
      <c r="B55" s="84"/>
      <c r="C55" s="160">
        <f>SUM(C43:C54)</f>
        <v>3120358.7599999979</v>
      </c>
      <c r="D55" s="36"/>
      <c r="F55" s="399" t="s">
        <v>182</v>
      </c>
      <c r="H55" s="96"/>
    </row>
    <row r="56" spans="1:21" ht="16.5" thickTop="1" thickBot="1">
      <c r="A56" s="386" t="s">
        <v>121</v>
      </c>
      <c r="B56" s="6" t="s">
        <v>115</v>
      </c>
      <c r="C56" s="122">
        <v>52860.99</v>
      </c>
      <c r="D56" s="36"/>
      <c r="F56" s="399" t="s">
        <v>183</v>
      </c>
      <c r="H56" s="157"/>
      <c r="I56" s="120"/>
      <c r="J56" s="120"/>
      <c r="K56" s="205"/>
      <c r="L56" s="120"/>
      <c r="T56" s="42"/>
    </row>
    <row r="57" spans="1:21">
      <c r="A57" s="386" t="s">
        <v>122</v>
      </c>
      <c r="B57" s="6" t="s">
        <v>115</v>
      </c>
      <c r="C57" s="122">
        <v>23919.119999999999</v>
      </c>
      <c r="D57" s="36"/>
      <c r="F57" s="551" t="s">
        <v>323</v>
      </c>
      <c r="G57" s="552" t="str">
        <f>IF(OR(AND(I54&gt;0,K54&gt;0),AND(I54&lt;0,K54&lt;0)),"OK","ERROR")</f>
        <v>OK</v>
      </c>
      <c r="H57" s="388" t="s">
        <v>314</v>
      </c>
      <c r="I57" s="389"/>
    </row>
    <row r="58" spans="1:21" ht="16" thickBot="1">
      <c r="A58" s="2" t="s">
        <v>125</v>
      </c>
      <c r="B58" s="2"/>
      <c r="C58" s="160">
        <f>SUM(C55:C57)</f>
        <v>3197138.8699999982</v>
      </c>
      <c r="D58" s="36"/>
      <c r="H58" s="320" t="s">
        <v>176</v>
      </c>
      <c r="I58" s="321" t="s">
        <v>177</v>
      </c>
      <c r="J58" s="5"/>
    </row>
    <row r="59" spans="1:21" ht="16.5" thickTop="1" thickBot="1">
      <c r="A59" s="2"/>
      <c r="C59" s="101"/>
      <c r="D59" s="36"/>
      <c r="H59" s="351">
        <f>SUM('WA - Def-Amtz'!AL5:AL10,'WA - Def-Amtz'!AL41:AL46,'WA - Def-Amtz'!AL76:AL79,'ID - Def-Amtz '!AL5:AL10,'ID - Def-Amtz '!AL42:AL47,'ID - Def-Amtz '!AL75:AL80)</f>
        <v>7890436.3542569289</v>
      </c>
      <c r="I59" s="451">
        <f>SUM('WA - Def-Amtz'!AM5:AM10,'WA - Def-Amtz'!AM41:AM46,'WA - Def-Amtz'!AM76:AM79,'ID - Def-Amtz '!AM5:AM10,'ID - Def-Amtz '!AM42:AM47,'ID - Def-Amtz '!AM75:AM80)</f>
        <v>7890436.3542569289</v>
      </c>
      <c r="J59" s="386">
        <f>H51+I51+J51+K51</f>
        <v>-8468427.7584199999</v>
      </c>
    </row>
    <row r="60" spans="1:21" ht="16" thickBot="1">
      <c r="A60" s="9"/>
      <c r="B60" s="9" t="s">
        <v>95</v>
      </c>
      <c r="C60" s="125">
        <f>C58+C34</f>
        <v>5451137.3199999984</v>
      </c>
      <c r="D60" s="36"/>
      <c r="G60" s="5"/>
      <c r="I60" s="340">
        <f>H59-I59</f>
        <v>0</v>
      </c>
    </row>
    <row r="61" spans="1:21">
      <c r="A61" s="2"/>
      <c r="B61" s="9" t="s">
        <v>160</v>
      </c>
      <c r="C61" s="352">
        <v>5451137.3200000003</v>
      </c>
      <c r="D61" s="37"/>
    </row>
    <row r="62" spans="1:21">
      <c r="A62" s="9"/>
      <c r="B62" s="9" t="s">
        <v>159</v>
      </c>
      <c r="C62" s="259">
        <f>ROUND(C60-C61,2)</f>
        <v>0</v>
      </c>
      <c r="N62" s="5"/>
      <c r="O62" s="5"/>
      <c r="P62" s="21"/>
    </row>
    <row r="63" spans="1:21">
      <c r="A63" s="44"/>
      <c r="C63" s="353"/>
      <c r="D63" s="36"/>
      <c r="S63" s="6"/>
    </row>
    <row r="64" spans="1:21">
      <c r="A64" s="44"/>
      <c r="C64" s="8"/>
      <c r="D64" s="43"/>
      <c r="N64" s="22"/>
      <c r="U64" s="2"/>
    </row>
    <row r="65" spans="1:21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4 I60">
    <cfRule type="cellIs" dxfId="749" priority="8" stopIfTrue="1" operator="equal">
      <formula>0</formula>
    </cfRule>
    <cfRule type="cellIs" dxfId="748" priority="9" stopIfTrue="1" operator="notEqual">
      <formula>0</formula>
    </cfRule>
  </conditionalFormatting>
  <conditionalFormatting sqref="G33 G45 K30 K45">
    <cfRule type="cellIs" dxfId="747" priority="7" operator="notEqual">
      <formula>0</formula>
    </cfRule>
  </conditionalFormatting>
  <conditionalFormatting sqref="C62">
    <cfRule type="cellIs" dxfId="746" priority="5" stopIfTrue="1" operator="equal">
      <formula>0</formula>
    </cfRule>
    <cfRule type="cellIs" dxfId="745" priority="6" stopIfTrue="1" operator="notEqual">
      <formula>0</formula>
    </cfRule>
  </conditionalFormatting>
  <conditionalFormatting sqref="K30">
    <cfRule type="cellIs" dxfId="744" priority="4" operator="notEqual">
      <formula>0</formula>
    </cfRule>
  </conditionalFormatting>
  <conditionalFormatting sqref="G57">
    <cfRule type="cellIs" dxfId="743" priority="3" operator="equal">
      <formula>"""ERROR"""</formula>
    </cfRule>
  </conditionalFormatting>
  <conditionalFormatting sqref="G57">
    <cfRule type="cellIs" dxfId="742" priority="2" operator="equal">
      <formula>"ERROR"</formula>
    </cfRule>
  </conditionalFormatting>
  <conditionalFormatting sqref="G57">
    <cfRule type="cellIs" dxfId="741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0">
    <tabColor rgb="FF00CC66"/>
    <pageSetUpPr fitToPage="1"/>
  </sheetPr>
  <dimension ref="A1:U1484"/>
  <sheetViews>
    <sheetView showGridLines="0" topLeftCell="A19" zoomScale="85" zoomScaleNormal="85" workbookViewId="0">
      <selection activeCell="H34" sqref="H34"/>
    </sheetView>
  </sheetViews>
  <sheetFormatPr defaultColWidth="16" defaultRowHeight="15.5"/>
  <cols>
    <col min="1" max="1" width="44.8984375" style="386" customWidth="1"/>
    <col min="2" max="2" width="25.59765625" style="386" customWidth="1"/>
    <col min="3" max="3" width="25.296875" style="386" customWidth="1"/>
    <col min="4" max="4" width="2.69921875" style="30" customWidth="1"/>
    <col min="5" max="5" width="4.296875" style="386" customWidth="1"/>
    <col min="6" max="6" width="26.69921875" style="386" customWidth="1"/>
    <col min="7" max="7" width="19" style="386" customWidth="1"/>
    <col min="8" max="8" width="22" style="386" customWidth="1"/>
    <col min="9" max="9" width="20.3984375" style="386" customWidth="1"/>
    <col min="10" max="10" width="26.296875" style="386" customWidth="1"/>
    <col min="11" max="11" width="21.8984375" style="386" bestFit="1" customWidth="1"/>
    <col min="12" max="12" width="23.8984375" style="386" customWidth="1"/>
    <col min="13" max="13" width="20.8984375" style="386" bestFit="1" customWidth="1"/>
    <col min="14" max="15" width="16" style="386"/>
    <col min="16" max="16" width="16.296875" style="386" bestFit="1" customWidth="1"/>
    <col min="17" max="16384" width="16" style="386"/>
  </cols>
  <sheetData>
    <row r="1" spans="1:13" ht="16" thickBot="1">
      <c r="A1" s="145" t="s">
        <v>64</v>
      </c>
      <c r="B1" s="29"/>
      <c r="C1" s="534">
        <f>Apr!C1+1</f>
        <v>201505</v>
      </c>
      <c r="F1" s="534">
        <f>C1</f>
        <v>201505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>
      <c r="A4" s="387" t="s">
        <v>88</v>
      </c>
      <c r="C4" s="314">
        <f>1688.63+4598122.63</f>
        <v>4599811.26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-41.98+105586.28</f>
        <v>105544.3</v>
      </c>
      <c r="D5" s="34"/>
      <c r="F5" s="387"/>
      <c r="G5" s="387"/>
      <c r="H5" s="11"/>
      <c r="I5" s="166">
        <v>0.70840000000000003</v>
      </c>
      <c r="J5" s="166">
        <f>1-I5</f>
        <v>0.29159999999999997</v>
      </c>
      <c r="K5" s="447">
        <f>ROUND(G43/(G43+K43),4)</f>
        <v>0.67110000000000003</v>
      </c>
      <c r="L5" s="447">
        <f>1-K5</f>
        <v>0.32889999999999997</v>
      </c>
      <c r="M5" s="387"/>
    </row>
    <row r="6" spans="1:13" ht="16" thickBot="1">
      <c r="A6" s="49" t="s">
        <v>30</v>
      </c>
      <c r="C6" s="315">
        <f>-2343063.08-482980-73845.1-127100-142987.5-81979.5-102391.76</f>
        <v>-3354346.94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" thickBot="1">
      <c r="A7" s="66" t="s">
        <v>140</v>
      </c>
      <c r="C7" s="100">
        <f>SUM(C4:C6)</f>
        <v>1351008.6199999996</v>
      </c>
      <c r="D7" s="35"/>
      <c r="F7" s="167" t="s">
        <v>139</v>
      </c>
      <c r="G7" s="167"/>
      <c r="H7" s="125">
        <f>C34</f>
        <v>2131228.2899999996</v>
      </c>
      <c r="I7" s="168">
        <f>H7*I5</f>
        <v>1509762.1206359998</v>
      </c>
      <c r="J7" s="168">
        <f>H7*J5</f>
        <v>621466.16936399986</v>
      </c>
      <c r="K7" s="168"/>
      <c r="L7" s="168"/>
      <c r="M7" s="387"/>
    </row>
    <row r="8" spans="1:13">
      <c r="A8" s="386" t="s">
        <v>89</v>
      </c>
      <c r="C8" s="314">
        <f>219169.84</f>
        <v>219169.84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>
      <c r="A9" s="387" t="s">
        <v>90</v>
      </c>
      <c r="C9" s="314">
        <v>6458.59</v>
      </c>
      <c r="D9" s="36"/>
      <c r="F9" s="167" t="s">
        <v>119</v>
      </c>
      <c r="G9" s="387"/>
      <c r="H9" s="168">
        <f>C55</f>
        <v>1805601.8600000013</v>
      </c>
      <c r="I9" s="168"/>
      <c r="J9" s="168"/>
      <c r="K9" s="168">
        <f>H9*K5</f>
        <v>1211739.408246001</v>
      </c>
      <c r="L9" s="168">
        <f>H9*L5</f>
        <v>593862.45175400039</v>
      </c>
      <c r="M9" s="387"/>
    </row>
    <row r="10" spans="1:13">
      <c r="A10" s="49" t="s">
        <v>91</v>
      </c>
      <c r="C10" s="315">
        <v>-3479.42</v>
      </c>
      <c r="D10" s="36"/>
      <c r="F10" s="170" t="s">
        <v>44</v>
      </c>
      <c r="G10" s="387"/>
      <c r="H10" s="168">
        <f>C56</f>
        <v>-90575.25</v>
      </c>
      <c r="I10" s="168"/>
      <c r="J10" s="168"/>
      <c r="K10" s="168">
        <f>H10</f>
        <v>-90575.25</v>
      </c>
      <c r="L10" s="168"/>
      <c r="M10" s="387"/>
    </row>
    <row r="11" spans="1:13">
      <c r="A11" s="66" t="s">
        <v>145</v>
      </c>
      <c r="C11" s="100">
        <f>SUM(C8:C10)</f>
        <v>222149.00999999998</v>
      </c>
      <c r="D11" s="36"/>
      <c r="F11" s="170" t="s">
        <v>45</v>
      </c>
      <c r="G11" s="387"/>
      <c r="H11" s="171">
        <f>C57</f>
        <v>-42453.68</v>
      </c>
      <c r="I11" s="168"/>
      <c r="J11" s="168"/>
      <c r="K11" s="171"/>
      <c r="L11" s="171">
        <f>H11</f>
        <v>-42453.68</v>
      </c>
      <c r="M11" s="387"/>
    </row>
    <row r="12" spans="1:13">
      <c r="A12" s="386" t="s">
        <v>165</v>
      </c>
      <c r="C12" s="314">
        <f>251979.45-105138.73</f>
        <v>146840.72000000003</v>
      </c>
      <c r="D12" s="36"/>
      <c r="F12" s="170" t="s">
        <v>138</v>
      </c>
      <c r="G12" s="387"/>
      <c r="H12" s="168">
        <f>H9+H10+H11</f>
        <v>1672572.9300000013</v>
      </c>
      <c r="I12" s="168"/>
      <c r="J12" s="168"/>
      <c r="K12" s="168">
        <f>SUM(K9:K11)</f>
        <v>1121164.158246001</v>
      </c>
      <c r="L12" s="168">
        <f>SUM(L9:L11)</f>
        <v>551408.77175400034</v>
      </c>
      <c r="M12" s="387"/>
    </row>
    <row r="13" spans="1:13" ht="16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" thickBot="1">
      <c r="A14" s="66" t="s">
        <v>92</v>
      </c>
      <c r="C14" s="100">
        <f>SUM(C12:C13)</f>
        <v>146840.72000000003</v>
      </c>
      <c r="D14" s="37"/>
      <c r="F14" s="50" t="s">
        <v>69</v>
      </c>
      <c r="G14" s="176"/>
      <c r="H14" s="125">
        <f>H12+H7</f>
        <v>3803801.2200000007</v>
      </c>
      <c r="I14" s="177">
        <f>SUM(I7:I13)</f>
        <v>1509762.1206359998</v>
      </c>
      <c r="J14" s="177">
        <f>SUM(J7:J13)</f>
        <v>621466.16936399986</v>
      </c>
      <c r="K14" s="177">
        <f>K12</f>
        <v>1121164.158246001</v>
      </c>
      <c r="L14" s="177">
        <f>L12</f>
        <v>551408.77175400034</v>
      </c>
      <c r="M14" s="387"/>
    </row>
    <row r="15" spans="1:13">
      <c r="A15" s="386" t="s">
        <v>184</v>
      </c>
      <c r="C15" s="314">
        <f>-4433.85+463223.67</f>
        <v>458789.82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6" thickBot="1">
      <c r="A17" s="66" t="s">
        <v>186</v>
      </c>
      <c r="C17" s="100">
        <f>SUM(C15:C16)</f>
        <v>458789.82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" thickBot="1">
      <c r="A18" s="386" t="s">
        <v>163</v>
      </c>
      <c r="C18" s="314">
        <f>6508.35-791.53+67017.15</f>
        <v>72733.97</v>
      </c>
      <c r="D18" s="36"/>
      <c r="F18" s="704" t="s">
        <v>134</v>
      </c>
      <c r="G18" s="705"/>
      <c r="H18" s="705"/>
      <c r="I18" s="706"/>
      <c r="J18" s="704" t="s">
        <v>135</v>
      </c>
      <c r="K18" s="705"/>
      <c r="L18" s="705"/>
      <c r="M18" s="706"/>
    </row>
    <row r="19" spans="1:13">
      <c r="A19" s="46" t="s">
        <v>164</v>
      </c>
      <c r="C19" s="315">
        <v>22085.27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" thickBot="1">
      <c r="A20" s="67" t="s">
        <v>93</v>
      </c>
      <c r="C20" s="100">
        <f>SUM(C18:C19)</f>
        <v>94819.24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>
      <c r="A23" s="209" t="s">
        <v>181</v>
      </c>
      <c r="C23" s="100">
        <v>0</v>
      </c>
      <c r="D23" s="36"/>
      <c r="F23" s="201" t="s">
        <v>37</v>
      </c>
      <c r="G23" s="264">
        <v>3297360</v>
      </c>
      <c r="H23" s="391">
        <v>0.1183</v>
      </c>
      <c r="I23" s="197">
        <f t="shared" ref="I23:I30" si="0">G23*H23</f>
        <v>390077.68800000002</v>
      </c>
      <c r="J23" s="201" t="s">
        <v>37</v>
      </c>
      <c r="K23" s="264">
        <v>1624041</v>
      </c>
      <c r="L23" s="391">
        <v>0.10721</v>
      </c>
      <c r="M23" s="197">
        <f>K23*L23</f>
        <v>174113.43560999999</v>
      </c>
    </row>
    <row r="24" spans="1:13">
      <c r="A24" s="209" t="s">
        <v>187</v>
      </c>
      <c r="C24" s="314">
        <v>0</v>
      </c>
      <c r="D24" s="36"/>
      <c r="F24" s="201" t="s">
        <v>38</v>
      </c>
      <c r="G24" s="264">
        <v>1901440</v>
      </c>
      <c r="H24" s="391">
        <v>0.11607000000000001</v>
      </c>
      <c r="I24" s="197">
        <f t="shared" si="0"/>
        <v>220700.14080000002</v>
      </c>
      <c r="J24" s="201" t="s">
        <v>38</v>
      </c>
      <c r="K24" s="264">
        <v>1075904</v>
      </c>
      <c r="L24" s="391">
        <v>0.10721</v>
      </c>
      <c r="M24" s="197">
        <f t="shared" ref="M24:M27" si="1">K24*L24</f>
        <v>115347.66783999999</v>
      </c>
    </row>
    <row r="25" spans="1:13">
      <c r="A25" s="209" t="s">
        <v>190</v>
      </c>
      <c r="C25" s="316">
        <v>0</v>
      </c>
      <c r="D25" s="36"/>
      <c r="F25" s="201" t="s">
        <v>39</v>
      </c>
      <c r="G25" s="264">
        <v>0</v>
      </c>
      <c r="H25" s="391">
        <v>0.11607000000000001</v>
      </c>
      <c r="I25" s="197">
        <f t="shared" si="0"/>
        <v>0</v>
      </c>
      <c r="J25" s="201" t="s">
        <v>39</v>
      </c>
      <c r="K25" s="264">
        <v>18173</v>
      </c>
      <c r="L25" s="391">
        <v>0.10721</v>
      </c>
      <c r="M25" s="197">
        <f t="shared" si="1"/>
        <v>1948.3273300000001</v>
      </c>
    </row>
    <row r="26" spans="1:13">
      <c r="A26" s="210" t="s">
        <v>189</v>
      </c>
      <c r="C26" s="317">
        <v>0</v>
      </c>
      <c r="D26" s="36"/>
      <c r="F26" s="201" t="s">
        <v>40</v>
      </c>
      <c r="G26" s="264">
        <v>249954</v>
      </c>
      <c r="H26" s="391">
        <v>9.783E-2</v>
      </c>
      <c r="I26" s="197">
        <f t="shared" si="0"/>
        <v>24452.999820000001</v>
      </c>
      <c r="J26" s="201" t="s">
        <v>40</v>
      </c>
      <c r="K26" s="264">
        <v>0</v>
      </c>
      <c r="L26" s="391">
        <v>0.10721</v>
      </c>
      <c r="M26" s="197">
        <f t="shared" si="1"/>
        <v>0</v>
      </c>
    </row>
    <row r="27" spans="1:13">
      <c r="A27" s="65" t="s">
        <v>96</v>
      </c>
      <c r="C27" s="100">
        <f>SUM(C23:C26)</f>
        <v>0</v>
      </c>
      <c r="D27" s="36"/>
      <c r="F27" s="201" t="s">
        <v>41</v>
      </c>
      <c r="G27" s="264">
        <v>46984</v>
      </c>
      <c r="H27" s="391">
        <v>9.783E-2</v>
      </c>
      <c r="I27" s="197">
        <f t="shared" si="0"/>
        <v>4596.4447200000004</v>
      </c>
      <c r="J27" s="201" t="s">
        <v>41</v>
      </c>
      <c r="K27" s="264">
        <v>0</v>
      </c>
      <c r="L27" s="391">
        <v>0.10721</v>
      </c>
      <c r="M27" s="197">
        <f t="shared" si="1"/>
        <v>0</v>
      </c>
    </row>
    <row r="28" spans="1:13" ht="16" thickBot="1">
      <c r="A28" s="211" t="s">
        <v>150</v>
      </c>
      <c r="C28" s="314">
        <v>0</v>
      </c>
      <c r="D28" s="37"/>
      <c r="F28" s="201" t="s">
        <v>42</v>
      </c>
      <c r="G28" s="264">
        <v>0</v>
      </c>
      <c r="H28" s="391">
        <v>6.9959999999999994E-2</v>
      </c>
      <c r="I28" s="197">
        <f t="shared" si="0"/>
        <v>0</v>
      </c>
      <c r="J28" s="200" t="s">
        <v>127</v>
      </c>
      <c r="K28" s="182">
        <f>SUM(K23:K27)</f>
        <v>2718118</v>
      </c>
      <c r="L28" s="183"/>
      <c r="M28" s="198">
        <f>SUM(M23:M27)</f>
        <v>291409.43078</v>
      </c>
    </row>
    <row r="29" spans="1:13" ht="16.5" thickTop="1" thickBot="1">
      <c r="A29" s="211" t="s">
        <v>167</v>
      </c>
      <c r="B29" s="387"/>
      <c r="C29" s="314">
        <v>0</v>
      </c>
      <c r="D29" s="36"/>
      <c r="F29" s="201" t="s">
        <v>43</v>
      </c>
      <c r="G29" s="264">
        <v>83536</v>
      </c>
      <c r="H29" s="391">
        <v>6.9959999999999994E-2</v>
      </c>
      <c r="I29" s="197">
        <f t="shared" si="0"/>
        <v>5844.1785599999994</v>
      </c>
      <c r="J29" s="200"/>
      <c r="K29" s="232">
        <v>2718118</v>
      </c>
      <c r="L29" s="188" t="s">
        <v>102</v>
      </c>
      <c r="M29" s="467">
        <f>M28/K28</f>
        <v>0.10721</v>
      </c>
    </row>
    <row r="30" spans="1:13" ht="16" thickBot="1">
      <c r="A30" s="2" t="s">
        <v>111</v>
      </c>
      <c r="C30" s="125">
        <f>C7+C11+C14+C17+C20+C22+C27+C28+C29</f>
        <v>2273607.4099999997</v>
      </c>
      <c r="D30" s="37"/>
      <c r="F30" s="201" t="s">
        <v>74</v>
      </c>
      <c r="G30" s="264">
        <v>2203136</v>
      </c>
      <c r="H30" s="391">
        <v>5.4000000000000001E-4</v>
      </c>
      <c r="I30" s="197">
        <f t="shared" si="0"/>
        <v>1189.69344</v>
      </c>
      <c r="J30" s="201"/>
      <c r="K30" s="231">
        <f>K28-K29</f>
        <v>0</v>
      </c>
      <c r="L30" s="183"/>
      <c r="M30" s="199"/>
    </row>
    <row r="31" spans="1:13" ht="16" thickBot="1">
      <c r="A31" s="386" t="s">
        <v>112</v>
      </c>
      <c r="C31" s="314">
        <v>-8290.9599999999991</v>
      </c>
      <c r="D31" s="39"/>
      <c r="F31" s="200" t="s">
        <v>127</v>
      </c>
      <c r="G31" s="182">
        <f>SUM(G23:G30)</f>
        <v>7782410</v>
      </c>
      <c r="H31" s="7"/>
      <c r="I31" s="198">
        <f>SUM(I23:I30)</f>
        <v>646861.14534000005</v>
      </c>
      <c r="J31" s="153"/>
      <c r="K31" s="7"/>
      <c r="L31" s="183"/>
      <c r="M31" s="199"/>
    </row>
    <row r="32" spans="1:13" ht="16" thickTop="1">
      <c r="A32" s="2" t="s">
        <v>116</v>
      </c>
      <c r="B32" s="2" t="s">
        <v>117</v>
      </c>
      <c r="C32" s="240">
        <f>C30+C31</f>
        <v>2265316.4499999997</v>
      </c>
      <c r="D32" s="40"/>
      <c r="F32" s="187"/>
      <c r="G32" s="232">
        <v>7782410</v>
      </c>
      <c r="H32" s="188" t="s">
        <v>102</v>
      </c>
      <c r="I32" s="217">
        <f>I31/G31</f>
        <v>8.3118358624128003E-2</v>
      </c>
      <c r="J32" s="193"/>
      <c r="K32" s="194"/>
      <c r="L32" s="7"/>
      <c r="M32" s="191"/>
    </row>
    <row r="33" spans="1:17" ht="16" thickBot="1">
      <c r="A33" s="386" t="s">
        <v>113</v>
      </c>
      <c r="C33" s="313">
        <f>-C5-C9-C13-C16-C19</f>
        <v>-134088.16</v>
      </c>
      <c r="D33" s="36"/>
      <c r="F33" s="153"/>
      <c r="G33" s="231">
        <f>G31-G32</f>
        <v>0</v>
      </c>
      <c r="H33" s="7"/>
      <c r="I33" s="98"/>
      <c r="J33" s="193"/>
      <c r="K33" s="194"/>
      <c r="L33" s="7"/>
      <c r="M33" s="98"/>
    </row>
    <row r="34" spans="1:17" ht="16" thickBot="1">
      <c r="A34" s="2" t="s">
        <v>114</v>
      </c>
      <c r="C34" s="125">
        <f>SUM(C32:C33)</f>
        <v>2131228.2899999996</v>
      </c>
      <c r="D34" s="36"/>
      <c r="F34" s="185"/>
      <c r="G34" s="12"/>
      <c r="H34" s="12"/>
      <c r="I34" s="186"/>
      <c r="J34" s="193"/>
      <c r="K34" s="192"/>
      <c r="L34" s="7"/>
      <c r="M34" s="98"/>
    </row>
    <row r="35" spans="1:17" ht="18" customHeight="1">
      <c r="A35" s="2"/>
      <c r="C35" s="101"/>
      <c r="D35" s="36"/>
      <c r="F35" s="200" t="s">
        <v>128</v>
      </c>
      <c r="G35" s="7"/>
      <c r="H35" s="7"/>
      <c r="I35" s="98"/>
      <c r="J35" s="200" t="s">
        <v>128</v>
      </c>
      <c r="K35" s="702"/>
      <c r="L35" s="702"/>
      <c r="M35" s="703"/>
    </row>
    <row r="36" spans="1:17">
      <c r="A36" s="16" t="s">
        <v>94</v>
      </c>
      <c r="B36" s="2"/>
      <c r="C36" s="100"/>
      <c r="D36" s="36"/>
      <c r="F36" s="201" t="s">
        <v>37</v>
      </c>
      <c r="G36" s="265">
        <f>G23</f>
        <v>3297360</v>
      </c>
      <c r="H36" s="391">
        <v>0.38496999999999998</v>
      </c>
      <c r="I36" s="197">
        <f t="shared" ref="I36:I42" si="2">G36*H36</f>
        <v>1269384.6791999999</v>
      </c>
      <c r="J36" s="201" t="s">
        <v>37</v>
      </c>
      <c r="K36" s="265">
        <f>K23</f>
        <v>1624041</v>
      </c>
      <c r="L36" s="391">
        <v>0.38272</v>
      </c>
      <c r="M36" s="197">
        <f t="shared" ref="M36:M42" si="3">K36*L36</f>
        <v>621552.97152000002</v>
      </c>
      <c r="P36" s="275"/>
      <c r="Q36" s="275"/>
    </row>
    <row r="37" spans="1:17">
      <c r="A37" s="7" t="s">
        <v>129</v>
      </c>
      <c r="B37" s="540" t="s">
        <v>115</v>
      </c>
      <c r="C37" s="122">
        <v>14735507.550000001</v>
      </c>
      <c r="D37" s="36"/>
      <c r="F37" s="201" t="s">
        <v>38</v>
      </c>
      <c r="G37" s="265">
        <f t="shared" ref="G37:G42" si="4">G24</f>
        <v>1901440</v>
      </c>
      <c r="H37" s="391">
        <v>0.38496999999999998</v>
      </c>
      <c r="I37" s="197">
        <f t="shared" si="2"/>
        <v>731997.35679999995</v>
      </c>
      <c r="J37" s="201" t="s">
        <v>38</v>
      </c>
      <c r="K37" s="265">
        <f>K24</f>
        <v>1075904</v>
      </c>
      <c r="L37" s="391">
        <v>0.38272</v>
      </c>
      <c r="M37" s="197">
        <f t="shared" si="3"/>
        <v>411769.97888000001</v>
      </c>
      <c r="P37" s="275"/>
      <c r="Q37" s="275"/>
    </row>
    <row r="38" spans="1:17">
      <c r="A38" s="144" t="s">
        <v>14</v>
      </c>
      <c r="B38" s="540" t="s">
        <v>115</v>
      </c>
      <c r="C38" s="122"/>
      <c r="D38" s="36"/>
      <c r="F38" s="201" t="s">
        <v>39</v>
      </c>
      <c r="G38" s="265">
        <f t="shared" si="4"/>
        <v>0</v>
      </c>
      <c r="H38" s="391">
        <v>0.38496999999999998</v>
      </c>
      <c r="I38" s="197">
        <f t="shared" si="2"/>
        <v>0</v>
      </c>
      <c r="J38" s="201" t="s">
        <v>39</v>
      </c>
      <c r="K38" s="265">
        <f>K25</f>
        <v>18173</v>
      </c>
      <c r="L38" s="391">
        <v>0.38272</v>
      </c>
      <c r="M38" s="197">
        <f t="shared" si="3"/>
        <v>6955.1705600000005</v>
      </c>
      <c r="P38" s="275"/>
      <c r="Q38" s="275"/>
    </row>
    <row r="39" spans="1:17">
      <c r="A39" s="7" t="s">
        <v>146</v>
      </c>
      <c r="B39" s="540" t="s">
        <v>147</v>
      </c>
      <c r="C39" s="122">
        <v>-29265.55</v>
      </c>
      <c r="D39" s="36"/>
      <c r="F39" s="201" t="s">
        <v>40</v>
      </c>
      <c r="G39" s="265">
        <f t="shared" si="4"/>
        <v>249954</v>
      </c>
      <c r="H39" s="391">
        <v>0.38496999999999998</v>
      </c>
      <c r="I39" s="197">
        <f t="shared" si="2"/>
        <v>96224.791379999995</v>
      </c>
      <c r="J39" s="201" t="s">
        <v>40</v>
      </c>
      <c r="K39" s="265">
        <f>K26</f>
        <v>0</v>
      </c>
      <c r="L39" s="391">
        <v>0.38272</v>
      </c>
      <c r="M39" s="197">
        <f t="shared" si="3"/>
        <v>0</v>
      </c>
      <c r="P39" s="275"/>
      <c r="Q39" s="275"/>
    </row>
    <row r="40" spans="1:17">
      <c r="A40" s="7" t="s">
        <v>131</v>
      </c>
      <c r="B40" s="540" t="s">
        <v>132</v>
      </c>
      <c r="C40" s="122">
        <v>169432.04</v>
      </c>
      <c r="D40" s="36"/>
      <c r="F40" s="201" t="s">
        <v>41</v>
      </c>
      <c r="G40" s="265">
        <f t="shared" si="4"/>
        <v>46984</v>
      </c>
      <c r="H40" s="391">
        <v>0.38496999999999998</v>
      </c>
      <c r="I40" s="197">
        <f t="shared" si="2"/>
        <v>18087.430479999999</v>
      </c>
      <c r="J40" s="201" t="s">
        <v>41</v>
      </c>
      <c r="K40" s="265">
        <f>K27</f>
        <v>0</v>
      </c>
      <c r="L40" s="391">
        <v>0.38272</v>
      </c>
      <c r="M40" s="197">
        <f t="shared" si="3"/>
        <v>0</v>
      </c>
      <c r="P40" s="275"/>
      <c r="Q40" s="275"/>
    </row>
    <row r="41" spans="1:17">
      <c r="A41" s="7" t="s">
        <v>153</v>
      </c>
      <c r="B41" s="6" t="s">
        <v>155</v>
      </c>
      <c r="C41" s="122">
        <v>295990.3</v>
      </c>
      <c r="D41" s="36"/>
      <c r="F41" s="201" t="s">
        <v>42</v>
      </c>
      <c r="G41" s="265">
        <f t="shared" si="4"/>
        <v>0</v>
      </c>
      <c r="H41" s="391">
        <v>0.38496999999999998</v>
      </c>
      <c r="I41" s="197">
        <f t="shared" si="2"/>
        <v>0</v>
      </c>
      <c r="J41" s="201" t="s">
        <v>42</v>
      </c>
      <c r="K41" s="264">
        <v>0</v>
      </c>
      <c r="L41" s="391">
        <v>0.38272</v>
      </c>
      <c r="M41" s="197">
        <f t="shared" si="3"/>
        <v>0</v>
      </c>
      <c r="P41" s="275"/>
      <c r="Q41" s="275"/>
    </row>
    <row r="42" spans="1:17" ht="16" thickBot="1">
      <c r="A42" s="7" t="s">
        <v>179</v>
      </c>
      <c r="B42" s="540" t="s">
        <v>180</v>
      </c>
      <c r="C42" s="122">
        <v>829377.43</v>
      </c>
      <c r="D42" s="37"/>
      <c r="F42" s="201" t="s">
        <v>43</v>
      </c>
      <c r="G42" s="265">
        <f t="shared" si="4"/>
        <v>83536</v>
      </c>
      <c r="H42" s="391">
        <v>0.38496999999999998</v>
      </c>
      <c r="I42" s="197">
        <f t="shared" si="2"/>
        <v>32158.853919999998</v>
      </c>
      <c r="J42" s="201" t="s">
        <v>43</v>
      </c>
      <c r="K42" s="266">
        <v>15779</v>
      </c>
      <c r="L42" s="391">
        <v>0.38272</v>
      </c>
      <c r="M42" s="197">
        <f t="shared" si="3"/>
        <v>6038.9388799999997</v>
      </c>
      <c r="P42" s="275"/>
      <c r="Q42" s="275"/>
    </row>
    <row r="43" spans="1:17" ht="16" thickBot="1">
      <c r="A43" s="85" t="s">
        <v>123</v>
      </c>
      <c r="B43" s="12"/>
      <c r="C43" s="125">
        <f>SUM(C37:C42)</f>
        <v>16001041.77</v>
      </c>
      <c r="D43" s="36"/>
      <c r="F43" s="200" t="s">
        <v>133</v>
      </c>
      <c r="G43" s="182">
        <f>SUM(G36:G42)</f>
        <v>5579274</v>
      </c>
      <c r="H43" s="183"/>
      <c r="I43" s="198">
        <f>SUM(I36:I42)</f>
        <v>2147853.1117799999</v>
      </c>
      <c r="J43" s="200" t="s">
        <v>133</v>
      </c>
      <c r="K43" s="182">
        <f>SUM(K36:K42)</f>
        <v>2733897</v>
      </c>
      <c r="L43" s="183"/>
      <c r="M43" s="198">
        <f>SUM(M36:M42)</f>
        <v>1046317.05984</v>
      </c>
    </row>
    <row r="44" spans="1:17" ht="16" thickBot="1">
      <c r="A44" s="83" t="s">
        <v>178</v>
      </c>
      <c r="B44" s="84" t="s">
        <v>120</v>
      </c>
      <c r="C44" s="242">
        <f>300585.27-6534327.52</f>
        <v>-6233742.25</v>
      </c>
      <c r="D44" s="37"/>
      <c r="F44" s="189"/>
      <c r="G44" s="233">
        <v>5579274</v>
      </c>
      <c r="H44" s="190" t="s">
        <v>102</v>
      </c>
      <c r="I44" s="216">
        <f>I43/G43</f>
        <v>0.38496999999999998</v>
      </c>
      <c r="J44" s="195"/>
      <c r="K44" s="233">
        <v>2733897</v>
      </c>
      <c r="L44" s="190" t="s">
        <v>102</v>
      </c>
      <c r="M44" s="218">
        <f>M43/K43</f>
        <v>0.38272</v>
      </c>
    </row>
    <row r="45" spans="1:17">
      <c r="A45" s="212" t="s">
        <v>168</v>
      </c>
      <c r="B45" s="6" t="s">
        <v>115</v>
      </c>
      <c r="C45" s="122">
        <v>0</v>
      </c>
      <c r="D45" s="39"/>
      <c r="F45" s="387"/>
      <c r="G45" s="231">
        <f>G43-G44</f>
        <v>0</v>
      </c>
      <c r="H45" s="387"/>
      <c r="I45" s="387"/>
      <c r="J45" s="124"/>
      <c r="K45" s="231">
        <f>K43-K44</f>
        <v>0</v>
      </c>
      <c r="L45" s="387"/>
      <c r="M45" s="124"/>
    </row>
    <row r="46" spans="1:17" ht="19.5" customHeight="1" thickBot="1">
      <c r="A46" s="144" t="s">
        <v>169</v>
      </c>
      <c r="B46" s="6" t="s">
        <v>115</v>
      </c>
      <c r="C46" s="122">
        <v>0</v>
      </c>
      <c r="D46" s="40"/>
      <c r="F46" s="387"/>
      <c r="G46" s="387"/>
      <c r="H46" s="387"/>
      <c r="I46" s="387"/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/>
      <c r="D47" s="36"/>
      <c r="F47" s="387"/>
      <c r="G47" s="114"/>
      <c r="H47" s="129" t="s">
        <v>35</v>
      </c>
      <c r="I47" s="13" t="s">
        <v>35</v>
      </c>
      <c r="J47" s="13" t="s">
        <v>63</v>
      </c>
      <c r="K47" s="127" t="s">
        <v>70</v>
      </c>
      <c r="L47" s="124"/>
      <c r="M47" s="387"/>
    </row>
    <row r="48" spans="1:17" ht="16" thickBot="1">
      <c r="A48" s="144" t="s">
        <v>222</v>
      </c>
      <c r="B48" s="6" t="s">
        <v>115</v>
      </c>
      <c r="C48" s="122">
        <v>5000</v>
      </c>
      <c r="D48" s="36"/>
      <c r="F48" s="50" t="s">
        <v>73</v>
      </c>
      <c r="G48" s="387"/>
      <c r="H48" s="130" t="s">
        <v>2</v>
      </c>
      <c r="I48" s="131" t="s">
        <v>3</v>
      </c>
      <c r="J48" s="131" t="s">
        <v>2</v>
      </c>
      <c r="K48" s="128" t="s">
        <v>3</v>
      </c>
      <c r="L48" s="387"/>
      <c r="M48" s="387"/>
    </row>
    <row r="49" spans="1:21">
      <c r="A49" s="7" t="s">
        <v>130</v>
      </c>
      <c r="B49" s="540" t="s">
        <v>152</v>
      </c>
      <c r="C49" s="122">
        <v>24133.05</v>
      </c>
      <c r="D49" s="36"/>
      <c r="F49" s="387"/>
      <c r="G49" s="387"/>
      <c r="H49" s="151"/>
      <c r="I49" s="152"/>
      <c r="J49" s="152"/>
      <c r="K49" s="152"/>
      <c r="L49" s="126" t="s">
        <v>103</v>
      </c>
      <c r="M49" s="387"/>
    </row>
    <row r="50" spans="1:21">
      <c r="A50" s="7" t="s">
        <v>175</v>
      </c>
      <c r="B50" s="540" t="s">
        <v>152</v>
      </c>
      <c r="C50" s="122">
        <v>2529.98</v>
      </c>
      <c r="D50" s="37"/>
      <c r="F50" s="387" t="s">
        <v>136</v>
      </c>
      <c r="G50" s="387"/>
      <c r="H50" s="213">
        <f>K12</f>
        <v>1121164.158246001</v>
      </c>
      <c r="I50" s="115">
        <f>I14</f>
        <v>1509762.1206359998</v>
      </c>
      <c r="J50" s="115">
        <f>L12</f>
        <v>551408.77175400034</v>
      </c>
      <c r="K50" s="115">
        <f>J14</f>
        <v>621466.16936399986</v>
      </c>
      <c r="L50" s="132">
        <f>SUM(H50:K50)</f>
        <v>3803801.2200000007</v>
      </c>
      <c r="M50" s="387"/>
    </row>
    <row r="51" spans="1:21" ht="16" thickBot="1">
      <c r="A51" s="7" t="s">
        <v>224</v>
      </c>
      <c r="B51" s="540" t="s">
        <v>152</v>
      </c>
      <c r="C51" s="122">
        <v>5481.46</v>
      </c>
      <c r="D51" s="36"/>
      <c r="F51" s="386" t="s">
        <v>109</v>
      </c>
      <c r="H51" s="213">
        <f>-I43</f>
        <v>-2147853.1117799999</v>
      </c>
      <c r="I51" s="115">
        <f>-I31</f>
        <v>-646861.14534000005</v>
      </c>
      <c r="J51" s="115">
        <f>-M43</f>
        <v>-1046317.05984</v>
      </c>
      <c r="K51" s="115">
        <f>-M28</f>
        <v>-291409.43078</v>
      </c>
      <c r="L51" s="263">
        <f>SUM(H51:K51)</f>
        <v>-4132440.7477400005</v>
      </c>
    </row>
    <row r="52" spans="1:21" ht="16" thickBot="1">
      <c r="A52" s="22" t="s">
        <v>118</v>
      </c>
      <c r="B52" s="6"/>
      <c r="C52" s="100">
        <f>-C33</f>
        <v>134088.16</v>
      </c>
      <c r="D52" s="33"/>
      <c r="F52" s="386" t="s">
        <v>86</v>
      </c>
      <c r="H52" s="235">
        <v>0</v>
      </c>
      <c r="I52" s="236">
        <v>0</v>
      </c>
      <c r="J52" s="236">
        <v>0</v>
      </c>
      <c r="K52" s="237">
        <v>0</v>
      </c>
      <c r="L52" s="215">
        <f>SUM(L50:L51)</f>
        <v>-328639.52773999982</v>
      </c>
    </row>
    <row r="53" spans="1:21" ht="16" thickBot="1">
      <c r="A53" s="384" t="s">
        <v>124</v>
      </c>
      <c r="B53" s="475" t="s">
        <v>316</v>
      </c>
      <c r="C53" s="314">
        <f>-3934435.73-62044.4-3761450.18</f>
        <v>-7757930.3100000005</v>
      </c>
      <c r="D53" s="36"/>
      <c r="F53" s="386" t="s">
        <v>71</v>
      </c>
      <c r="H53" s="125">
        <f>IFERROR(H50+H51+H52,0)</f>
        <v>-1026688.9535339989</v>
      </c>
      <c r="I53" s="125">
        <f>I50+I51+I52</f>
        <v>862900.97529599979</v>
      </c>
      <c r="J53" s="125">
        <f>IFERROR(J50+J51+J52,0)</f>
        <v>-494908.28808599967</v>
      </c>
      <c r="K53" s="125">
        <f>K50+K51+K52</f>
        <v>330056.73858399986</v>
      </c>
      <c r="L53" s="47">
        <f>SUM(H53:K53)</f>
        <v>-328639.52773999894</v>
      </c>
    </row>
    <row r="54" spans="1:21" ht="16" thickBot="1">
      <c r="A54" s="386" t="s">
        <v>191</v>
      </c>
      <c r="B54" s="6" t="s">
        <v>192</v>
      </c>
      <c r="C54" s="122">
        <v>-375000</v>
      </c>
      <c r="D54" s="36"/>
      <c r="F54" s="241" t="s">
        <v>182</v>
      </c>
      <c r="H54" s="386" t="s">
        <v>173</v>
      </c>
      <c r="I54" s="5">
        <f>SUM(H53:I53)</f>
        <v>-163787.97823799914</v>
      </c>
      <c r="J54" s="15" t="s">
        <v>174</v>
      </c>
      <c r="K54" s="386">
        <f>SUM(J53:K53)</f>
        <v>-164851.54950199981</v>
      </c>
      <c r="L54" s="214">
        <f>ROUND(L52-L53,3)</f>
        <v>0</v>
      </c>
    </row>
    <row r="55" spans="1:21" ht="16.5" thickTop="1" thickBot="1">
      <c r="A55" s="82" t="s">
        <v>119</v>
      </c>
      <c r="B55" s="84"/>
      <c r="C55" s="160">
        <f>SUM(C43:C54)</f>
        <v>1805601.8600000013</v>
      </c>
      <c r="D55" s="36"/>
      <c r="F55" s="399" t="s">
        <v>182</v>
      </c>
      <c r="H55" s="96"/>
    </row>
    <row r="56" spans="1:21" ht="16.5" thickTop="1" thickBot="1">
      <c r="A56" s="386" t="s">
        <v>121</v>
      </c>
      <c r="B56" s="6" t="s">
        <v>115</v>
      </c>
      <c r="C56" s="122">
        <v>-90575.25</v>
      </c>
      <c r="D56" s="36"/>
      <c r="F56" s="399" t="s">
        <v>183</v>
      </c>
      <c r="H56" s="157"/>
      <c r="I56" s="120"/>
      <c r="J56" s="120"/>
      <c r="K56" s="205"/>
      <c r="L56" s="120"/>
      <c r="T56" s="42"/>
    </row>
    <row r="57" spans="1:21">
      <c r="A57" s="386" t="s">
        <v>122</v>
      </c>
      <c r="B57" s="6" t="s">
        <v>115</v>
      </c>
      <c r="C57" s="122">
        <v>-42453.68</v>
      </c>
      <c r="D57" s="36"/>
      <c r="F57" s="551" t="s">
        <v>323</v>
      </c>
      <c r="G57" s="552" t="str">
        <f>IF(OR(AND(I54&gt;0,K54&gt;0),AND(I54&lt;0,K54&lt;0)),"OK","ERROR")</f>
        <v>OK</v>
      </c>
      <c r="H57" s="388" t="s">
        <v>314</v>
      </c>
      <c r="I57" s="389"/>
    </row>
    <row r="58" spans="1:21" ht="16" thickBot="1">
      <c r="A58" s="2" t="s">
        <v>125</v>
      </c>
      <c r="B58" s="2"/>
      <c r="C58" s="160">
        <f>SUM(C55:C57)</f>
        <v>1672572.9300000013</v>
      </c>
      <c r="D58" s="36"/>
      <c r="H58" s="320" t="s">
        <v>176</v>
      </c>
      <c r="I58" s="321" t="s">
        <v>177</v>
      </c>
      <c r="J58" s="5"/>
    </row>
    <row r="59" spans="1:21" ht="16.5" thickTop="1" thickBot="1">
      <c r="A59" s="2"/>
      <c r="C59" s="101"/>
      <c r="D59" s="36"/>
      <c r="H59" s="351">
        <f>SUM('WA - Def-Amtz'!AL5:AL10,'WA - Def-Amtz'!AL41:AL46,'WA - Def-Amtz'!AL76:AL79,'ID - Def-Amtz '!AL5:AL10,'ID - Def-Amtz '!AL42:AL47,'ID - Def-Amtz '!AL75:AL80)</f>
        <v>7890436.3542569289</v>
      </c>
      <c r="I59" s="451">
        <f>SUM('WA - Def-Amtz'!AM5:AM10,'WA - Def-Amtz'!AM41:AM46,'WA - Def-Amtz'!AM76:AM79,'ID - Def-Amtz '!AM5:AM10,'ID - Def-Amtz '!AM42:AM47,'ID - Def-Amtz '!AM75:AM80)</f>
        <v>7890436.3542569289</v>
      </c>
      <c r="J59" s="386">
        <f>H51+I51+J51+K51</f>
        <v>-4132440.7477400005</v>
      </c>
    </row>
    <row r="60" spans="1:21" ht="16" thickBot="1">
      <c r="A60" s="9"/>
      <c r="B60" s="9" t="s">
        <v>95</v>
      </c>
      <c r="C60" s="125">
        <f>C58+C34</f>
        <v>3803801.2200000007</v>
      </c>
      <c r="D60" s="36"/>
      <c r="G60" s="5"/>
      <c r="I60" s="340">
        <f>H59-I59</f>
        <v>0</v>
      </c>
    </row>
    <row r="61" spans="1:21">
      <c r="A61" s="2"/>
      <c r="B61" s="9" t="s">
        <v>160</v>
      </c>
      <c r="C61" s="352">
        <v>3803801.22</v>
      </c>
      <c r="D61" s="37"/>
    </row>
    <row r="62" spans="1:21">
      <c r="A62" s="9"/>
      <c r="B62" s="9" t="s">
        <v>159</v>
      </c>
      <c r="C62" s="259">
        <f>ROUND(C60-C61,2)</f>
        <v>0</v>
      </c>
      <c r="N62" s="5"/>
      <c r="O62" s="5"/>
      <c r="P62" s="21"/>
    </row>
    <row r="63" spans="1:21">
      <c r="A63" s="44"/>
      <c r="C63" s="353"/>
      <c r="D63" s="36"/>
      <c r="S63" s="6"/>
    </row>
    <row r="64" spans="1:21">
      <c r="A64" s="44"/>
      <c r="C64" s="8"/>
      <c r="D64" s="43"/>
      <c r="N64" s="22"/>
      <c r="U64" s="2"/>
    </row>
    <row r="65" spans="1:21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4 I60">
    <cfRule type="cellIs" dxfId="740" priority="7" stopIfTrue="1" operator="equal">
      <formula>0</formula>
    </cfRule>
    <cfRule type="cellIs" dxfId="739" priority="8" stopIfTrue="1" operator="notEqual">
      <formula>0</formula>
    </cfRule>
  </conditionalFormatting>
  <conditionalFormatting sqref="G33 G45 K30 K45">
    <cfRule type="cellIs" dxfId="738" priority="6" operator="notEqual">
      <formula>0</formula>
    </cfRule>
  </conditionalFormatting>
  <conditionalFormatting sqref="C62">
    <cfRule type="cellIs" dxfId="737" priority="4" stopIfTrue="1" operator="equal">
      <formula>0</formula>
    </cfRule>
    <cfRule type="cellIs" dxfId="736" priority="5" stopIfTrue="1" operator="notEqual">
      <formula>0</formula>
    </cfRule>
  </conditionalFormatting>
  <conditionalFormatting sqref="K30">
    <cfRule type="cellIs" dxfId="735" priority="3" operator="notEqual">
      <formula>0</formula>
    </cfRule>
  </conditionalFormatting>
  <conditionalFormatting sqref="G57">
    <cfRule type="cellIs" dxfId="734" priority="2" operator="equal">
      <formula>"ERROR"</formula>
    </cfRule>
  </conditionalFormatting>
  <conditionalFormatting sqref="G57">
    <cfRule type="cellIs" dxfId="733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1">
    <tabColor rgb="FF00CC66"/>
    <pageSetUpPr fitToPage="1"/>
  </sheetPr>
  <dimension ref="A1:U1484"/>
  <sheetViews>
    <sheetView showGridLines="0" zoomScale="85" zoomScaleNormal="85" workbookViewId="0">
      <selection activeCell="C31" sqref="C31"/>
    </sheetView>
  </sheetViews>
  <sheetFormatPr defaultColWidth="16" defaultRowHeight="15.5"/>
  <cols>
    <col min="1" max="1" width="44.8984375" style="386" customWidth="1"/>
    <col min="2" max="2" width="25.59765625" style="386" customWidth="1"/>
    <col min="3" max="3" width="25.296875" style="386" customWidth="1"/>
    <col min="4" max="4" width="2.69921875" style="30" customWidth="1"/>
    <col min="5" max="5" width="4.296875" style="386" customWidth="1"/>
    <col min="6" max="6" width="26.69921875" style="386" customWidth="1"/>
    <col min="7" max="7" width="19" style="386" customWidth="1"/>
    <col min="8" max="8" width="22" style="386" customWidth="1"/>
    <col min="9" max="9" width="20.3984375" style="386" customWidth="1"/>
    <col min="10" max="10" width="26.296875" style="386" customWidth="1"/>
    <col min="11" max="11" width="21.8984375" style="386" bestFit="1" customWidth="1"/>
    <col min="12" max="12" width="23.8984375" style="386" customWidth="1"/>
    <col min="13" max="13" width="20.8984375" style="386" bestFit="1" customWidth="1"/>
    <col min="14" max="15" width="16" style="386"/>
    <col min="16" max="16" width="16.296875" style="386" bestFit="1" customWidth="1"/>
    <col min="17" max="16384" width="16" style="386"/>
  </cols>
  <sheetData>
    <row r="1" spans="1:13" ht="16" thickBot="1">
      <c r="A1" s="145" t="s">
        <v>64</v>
      </c>
      <c r="B1" s="29"/>
      <c r="C1" s="534">
        <f>May!C1+1</f>
        <v>201506</v>
      </c>
      <c r="F1" s="534">
        <f>C1</f>
        <v>201506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>
      <c r="A4" s="387" t="s">
        <v>88</v>
      </c>
      <c r="C4" s="314">
        <f>1634.06+4449796.09</f>
        <v>4451430.1499999994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110813.18-1841.59</f>
        <v>108971.59</v>
      </c>
      <c r="D5" s="34"/>
      <c r="F5" s="387"/>
      <c r="G5" s="387"/>
      <c r="H5" s="11"/>
      <c r="I5" s="166">
        <v>0.70840000000000003</v>
      </c>
      <c r="J5" s="166">
        <f>1-I5</f>
        <v>0.29159999999999997</v>
      </c>
      <c r="K5" s="447">
        <f>ROUND(G43/(G43+K43),4)</f>
        <v>0.65269999999999995</v>
      </c>
      <c r="L5" s="447">
        <f>1-K5</f>
        <v>0.34730000000000005</v>
      </c>
      <c r="M5" s="387"/>
    </row>
    <row r="6" spans="1:13" ht="16" thickBot="1">
      <c r="A6" s="49" t="s">
        <v>30</v>
      </c>
      <c r="C6" s="315">
        <f>-2267480.4-435420-71463-123000-138375-79335-99088.8</f>
        <v>-3214162.1999999997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" thickBot="1">
      <c r="A7" s="66" t="s">
        <v>140</v>
      </c>
      <c r="C7" s="100">
        <f>SUM(C4:C6)</f>
        <v>1346239.5399999996</v>
      </c>
      <c r="D7" s="35"/>
      <c r="F7" s="167" t="s">
        <v>139</v>
      </c>
      <c r="G7" s="167"/>
      <c r="H7" s="125">
        <f>C34</f>
        <v>2542696.9999999995</v>
      </c>
      <c r="I7" s="168">
        <f>H7*I5</f>
        <v>1801246.5547999998</v>
      </c>
      <c r="J7" s="168">
        <f>H7*J5</f>
        <v>741450.44519999984</v>
      </c>
      <c r="K7" s="168"/>
      <c r="L7" s="168"/>
      <c r="M7" s="387"/>
    </row>
    <row r="8" spans="1:13">
      <c r="A8" s="386" t="s">
        <v>89</v>
      </c>
      <c r="C8" s="314">
        <f>522556.29</f>
        <v>522556.29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>
      <c r="A9" s="387" t="s">
        <v>90</v>
      </c>
      <c r="C9" s="314">
        <f>18655.62</f>
        <v>18655.62</v>
      </c>
      <c r="D9" s="36"/>
      <c r="F9" s="167" t="s">
        <v>119</v>
      </c>
      <c r="G9" s="387"/>
      <c r="H9" s="168">
        <f>C55</f>
        <v>-74086.10000000149</v>
      </c>
      <c r="I9" s="168"/>
      <c r="J9" s="168"/>
      <c r="K9" s="168">
        <f>H9*K5</f>
        <v>-48355.99747000097</v>
      </c>
      <c r="L9" s="168">
        <f>H9*L5</f>
        <v>-25730.10253000052</v>
      </c>
      <c r="M9" s="387"/>
    </row>
    <row r="10" spans="1:13">
      <c r="A10" s="49" t="s">
        <v>91</v>
      </c>
      <c r="C10" s="315">
        <v>-3367.18</v>
      </c>
      <c r="D10" s="36"/>
      <c r="F10" s="170" t="s">
        <v>44</v>
      </c>
      <c r="G10" s="387"/>
      <c r="H10" s="168">
        <f>C56</f>
        <v>53923.35</v>
      </c>
      <c r="I10" s="168"/>
      <c r="J10" s="168"/>
      <c r="K10" s="168">
        <f>H10</f>
        <v>53923.35</v>
      </c>
      <c r="L10" s="168"/>
      <c r="M10" s="387"/>
    </row>
    <row r="11" spans="1:13">
      <c r="A11" s="66" t="s">
        <v>145</v>
      </c>
      <c r="C11" s="100">
        <f>SUM(C8:C10)</f>
        <v>537844.73</v>
      </c>
      <c r="D11" s="36"/>
      <c r="F11" s="170" t="s">
        <v>45</v>
      </c>
      <c r="G11" s="387"/>
      <c r="H11" s="171">
        <f>C57</f>
        <v>24236.33</v>
      </c>
      <c r="I11" s="168"/>
      <c r="J11" s="168"/>
      <c r="K11" s="171"/>
      <c r="L11" s="171">
        <f>H11</f>
        <v>24236.33</v>
      </c>
      <c r="M11" s="387"/>
    </row>
    <row r="12" spans="1:13">
      <c r="A12" s="386" t="s">
        <v>165</v>
      </c>
      <c r="C12" s="314">
        <f>251070.01+2672.52</f>
        <v>253742.53</v>
      </c>
      <c r="D12" s="36"/>
      <c r="F12" s="170" t="s">
        <v>138</v>
      </c>
      <c r="G12" s="387"/>
      <c r="H12" s="168">
        <f>H9+H10+H11</f>
        <v>4073.5799999985102</v>
      </c>
      <c r="I12" s="168"/>
      <c r="J12" s="168"/>
      <c r="K12" s="168">
        <f>SUM(K9:K11)</f>
        <v>5567.3525299990288</v>
      </c>
      <c r="L12" s="168">
        <f>SUM(L9:L11)</f>
        <v>-1493.7725300005186</v>
      </c>
      <c r="M12" s="387"/>
    </row>
    <row r="13" spans="1:13" ht="16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" thickBot="1">
      <c r="A14" s="66" t="s">
        <v>92</v>
      </c>
      <c r="C14" s="100">
        <f>SUM(C12:C13)</f>
        <v>253742.53</v>
      </c>
      <c r="D14" s="37"/>
      <c r="F14" s="50" t="s">
        <v>69</v>
      </c>
      <c r="G14" s="176"/>
      <c r="H14" s="125">
        <f>H12+H7</f>
        <v>2546770.5799999982</v>
      </c>
      <c r="I14" s="177">
        <f>SUM(I7:I13)</f>
        <v>1801246.5547999998</v>
      </c>
      <c r="J14" s="177">
        <f>SUM(J7:J13)</f>
        <v>741450.44519999984</v>
      </c>
      <c r="K14" s="177">
        <f>K12</f>
        <v>5567.3525299990288</v>
      </c>
      <c r="L14" s="177">
        <f>L12</f>
        <v>-1493.7725300005186</v>
      </c>
      <c r="M14" s="387"/>
    </row>
    <row r="15" spans="1:13">
      <c r="A15" s="386" t="s">
        <v>184</v>
      </c>
      <c r="C15" s="314">
        <f>461551.8+4912.61</f>
        <v>466464.41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6" thickBot="1">
      <c r="A17" s="66" t="s">
        <v>186</v>
      </c>
      <c r="C17" s="100">
        <f>SUM(C15:C16)</f>
        <v>466464.41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" thickBot="1">
      <c r="A18" s="386" t="s">
        <v>163</v>
      </c>
      <c r="C18" s="314">
        <f>66775.28+6484.86+783.39</f>
        <v>74043.53</v>
      </c>
      <c r="D18" s="36"/>
      <c r="F18" s="704" t="s">
        <v>134</v>
      </c>
      <c r="G18" s="705"/>
      <c r="H18" s="705"/>
      <c r="I18" s="706"/>
      <c r="J18" s="704" t="s">
        <v>135</v>
      </c>
      <c r="K18" s="705"/>
      <c r="L18" s="705"/>
      <c r="M18" s="706"/>
    </row>
    <row r="19" spans="1:13">
      <c r="A19" s="46" t="s">
        <v>164</v>
      </c>
      <c r="C19" s="315">
        <v>7090.74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" thickBot="1">
      <c r="A20" s="67" t="s">
        <v>93</v>
      </c>
      <c r="C20" s="100">
        <f>SUM(C18:C19)</f>
        <v>81134.27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>
      <c r="A23" s="209" t="s">
        <v>181</v>
      </c>
      <c r="C23" s="100">
        <v>0</v>
      </c>
      <c r="D23" s="36"/>
      <c r="F23" s="201" t="s">
        <v>37</v>
      </c>
      <c r="G23" s="264">
        <v>1968489</v>
      </c>
      <c r="H23" s="391">
        <v>0.1183</v>
      </c>
      <c r="I23" s="197">
        <f t="shared" ref="I23:I30" si="0">G23*H23</f>
        <v>232872.2487</v>
      </c>
      <c r="J23" s="201" t="s">
        <v>37</v>
      </c>
      <c r="K23" s="264">
        <v>985347</v>
      </c>
      <c r="L23" s="391">
        <v>0.10721</v>
      </c>
      <c r="M23" s="197">
        <f>K23*L23</f>
        <v>105639.05187</v>
      </c>
    </row>
    <row r="24" spans="1:13">
      <c r="A24" s="209" t="s">
        <v>187</v>
      </c>
      <c r="C24" s="314">
        <v>0</v>
      </c>
      <c r="D24" s="36"/>
      <c r="F24" s="201" t="s">
        <v>38</v>
      </c>
      <c r="G24" s="264">
        <v>1561904</v>
      </c>
      <c r="H24" s="391">
        <v>0.11607000000000001</v>
      </c>
      <c r="I24" s="197">
        <f t="shared" si="0"/>
        <v>181290.19728000002</v>
      </c>
      <c r="J24" s="201" t="s">
        <v>38</v>
      </c>
      <c r="K24" s="264">
        <v>1089173</v>
      </c>
      <c r="L24" s="391">
        <v>0.10721</v>
      </c>
      <c r="M24" s="197">
        <f t="shared" ref="M24:M27" si="1">K24*L24</f>
        <v>116770.23733</v>
      </c>
    </row>
    <row r="25" spans="1:13">
      <c r="A25" s="209" t="s">
        <v>190</v>
      </c>
      <c r="C25" s="316">
        <v>0</v>
      </c>
      <c r="D25" s="36"/>
      <c r="F25" s="201" t="s">
        <v>39</v>
      </c>
      <c r="G25" s="264">
        <v>0</v>
      </c>
      <c r="H25" s="391">
        <v>0.11607000000000001</v>
      </c>
      <c r="I25" s="197">
        <f t="shared" si="0"/>
        <v>0</v>
      </c>
      <c r="J25" s="201" t="s">
        <v>39</v>
      </c>
      <c r="K25" s="264">
        <v>21920</v>
      </c>
      <c r="L25" s="391">
        <v>0.10721</v>
      </c>
      <c r="M25" s="197">
        <f t="shared" si="1"/>
        <v>2350.0432000000001</v>
      </c>
    </row>
    <row r="26" spans="1:13">
      <c r="A26" s="210" t="s">
        <v>189</v>
      </c>
      <c r="C26" s="317">
        <v>0</v>
      </c>
      <c r="D26" s="36"/>
      <c r="F26" s="201" t="s">
        <v>40</v>
      </c>
      <c r="G26" s="264">
        <v>322862</v>
      </c>
      <c r="H26" s="391">
        <v>9.783E-2</v>
      </c>
      <c r="I26" s="197">
        <f t="shared" si="0"/>
        <v>31585.589459999999</v>
      </c>
      <c r="J26" s="201" t="s">
        <v>40</v>
      </c>
      <c r="K26" s="264">
        <v>0</v>
      </c>
      <c r="L26" s="391">
        <v>0.10721</v>
      </c>
      <c r="M26" s="197">
        <f t="shared" si="1"/>
        <v>0</v>
      </c>
    </row>
    <row r="27" spans="1:13">
      <c r="A27" s="65" t="s">
        <v>96</v>
      </c>
      <c r="C27" s="100">
        <f>SUM(C23:C26)</f>
        <v>0</v>
      </c>
      <c r="D27" s="36"/>
      <c r="F27" s="201" t="s">
        <v>41</v>
      </c>
      <c r="G27" s="264">
        <v>30135</v>
      </c>
      <c r="H27" s="391">
        <v>9.783E-2</v>
      </c>
      <c r="I27" s="197">
        <f t="shared" si="0"/>
        <v>2948.1070500000001</v>
      </c>
      <c r="J27" s="201" t="s">
        <v>41</v>
      </c>
      <c r="K27" s="264">
        <v>0</v>
      </c>
      <c r="L27" s="391">
        <v>0.10721</v>
      </c>
      <c r="M27" s="197">
        <f t="shared" si="1"/>
        <v>0</v>
      </c>
    </row>
    <row r="28" spans="1:13" ht="16" thickBot="1">
      <c r="A28" s="211" t="s">
        <v>150</v>
      </c>
      <c r="C28" s="314">
        <v>0</v>
      </c>
      <c r="D28" s="37"/>
      <c r="F28" s="201" t="s">
        <v>42</v>
      </c>
      <c r="G28" s="264">
        <v>0</v>
      </c>
      <c r="H28" s="391">
        <v>6.9959999999999994E-2</v>
      </c>
      <c r="I28" s="197">
        <f t="shared" si="0"/>
        <v>0</v>
      </c>
      <c r="J28" s="200" t="s">
        <v>127</v>
      </c>
      <c r="K28" s="182">
        <f>SUM(K23:K27)</f>
        <v>2096440</v>
      </c>
      <c r="L28" s="183"/>
      <c r="M28" s="198">
        <f>SUM(M23:M27)</f>
        <v>224759.33240000001</v>
      </c>
    </row>
    <row r="29" spans="1:13" ht="16.5" thickTop="1" thickBot="1">
      <c r="A29" s="211" t="s">
        <v>167</v>
      </c>
      <c r="B29" s="387"/>
      <c r="C29" s="314">
        <v>0</v>
      </c>
      <c r="D29" s="36"/>
      <c r="F29" s="201" t="s">
        <v>43</v>
      </c>
      <c r="G29" s="264">
        <v>56511</v>
      </c>
      <c r="H29" s="391">
        <v>6.9959999999999994E-2</v>
      </c>
      <c r="I29" s="197">
        <f t="shared" si="0"/>
        <v>3953.5095599999995</v>
      </c>
      <c r="J29" s="200"/>
      <c r="K29" s="232">
        <v>2096440</v>
      </c>
      <c r="L29" s="188" t="s">
        <v>102</v>
      </c>
      <c r="M29" s="467">
        <f>M28/K28</f>
        <v>0.10721</v>
      </c>
    </row>
    <row r="30" spans="1:13" ht="16" thickBot="1">
      <c r="A30" s="2" t="s">
        <v>111</v>
      </c>
      <c r="C30" s="125">
        <f>C7+C11+C14+C17+C20+C22+C27+C28+C29</f>
        <v>2685425.4799999995</v>
      </c>
      <c r="D30" s="37"/>
      <c r="F30" s="201" t="s">
        <v>74</v>
      </c>
      <c r="G30" s="264">
        <v>1941783</v>
      </c>
      <c r="H30" s="391">
        <v>5.4000000000000001E-4</v>
      </c>
      <c r="I30" s="197">
        <f t="shared" si="0"/>
        <v>1048.5628200000001</v>
      </c>
      <c r="J30" s="201"/>
      <c r="K30" s="231">
        <f>K28-K29</f>
        <v>0</v>
      </c>
      <c r="L30" s="183"/>
      <c r="M30" s="199"/>
    </row>
    <row r="31" spans="1:13" ht="16" thickBot="1">
      <c r="A31" s="386" t="s">
        <v>112</v>
      </c>
      <c r="C31" s="314">
        <v>-8010.53</v>
      </c>
      <c r="D31" s="39"/>
      <c r="F31" s="200" t="s">
        <v>127</v>
      </c>
      <c r="G31" s="182">
        <f>SUM(G23:G30)</f>
        <v>5881684</v>
      </c>
      <c r="H31" s="7"/>
      <c r="I31" s="198">
        <f>SUM(I23:I30)</f>
        <v>453698.21486999997</v>
      </c>
      <c r="J31" s="153"/>
      <c r="K31" s="7"/>
      <c r="L31" s="183"/>
      <c r="M31" s="199"/>
    </row>
    <row r="32" spans="1:13" ht="16" thickTop="1">
      <c r="A32" s="2" t="s">
        <v>116</v>
      </c>
      <c r="B32" s="2" t="s">
        <v>117</v>
      </c>
      <c r="C32" s="240">
        <f>C30+C31</f>
        <v>2677414.9499999997</v>
      </c>
      <c r="D32" s="40"/>
      <c r="F32" s="187"/>
      <c r="G32" s="232">
        <v>5881684</v>
      </c>
      <c r="H32" s="188" t="s">
        <v>102</v>
      </c>
      <c r="I32" s="217">
        <f>I31/G31</f>
        <v>7.7137468600829276E-2</v>
      </c>
      <c r="J32" s="193"/>
      <c r="K32" s="194"/>
      <c r="L32" s="7"/>
      <c r="M32" s="191"/>
    </row>
    <row r="33" spans="1:17" ht="16" thickBot="1">
      <c r="A33" s="386" t="s">
        <v>113</v>
      </c>
      <c r="C33" s="313">
        <f>-C5-C9-C13-C16-C19</f>
        <v>-134717.94999999998</v>
      </c>
      <c r="D33" s="36"/>
      <c r="F33" s="153"/>
      <c r="G33" s="231">
        <f>G31-G32</f>
        <v>0</v>
      </c>
      <c r="H33" s="7"/>
      <c r="I33" s="98"/>
      <c r="J33" s="193"/>
      <c r="K33" s="194"/>
      <c r="L33" s="7"/>
      <c r="M33" s="98"/>
    </row>
    <row r="34" spans="1:17" ht="16" thickBot="1">
      <c r="A34" s="2" t="s">
        <v>114</v>
      </c>
      <c r="C34" s="125">
        <f>SUM(C32:C33)</f>
        <v>2542696.9999999995</v>
      </c>
      <c r="D34" s="36"/>
      <c r="F34" s="185"/>
      <c r="G34" s="12"/>
      <c r="H34" s="12"/>
      <c r="I34" s="186"/>
      <c r="J34" s="193"/>
      <c r="K34" s="192"/>
      <c r="L34" s="7"/>
      <c r="M34" s="98"/>
    </row>
    <row r="35" spans="1:17" ht="18" customHeight="1">
      <c r="A35" s="2"/>
      <c r="C35" s="101"/>
      <c r="D35" s="36"/>
      <c r="F35" s="200" t="s">
        <v>128</v>
      </c>
      <c r="G35" s="7"/>
      <c r="H35" s="7"/>
      <c r="I35" s="98"/>
      <c r="J35" s="200" t="s">
        <v>128</v>
      </c>
      <c r="K35" s="702"/>
      <c r="L35" s="702"/>
      <c r="M35" s="703"/>
    </row>
    <row r="36" spans="1:17">
      <c r="A36" s="16" t="s">
        <v>94</v>
      </c>
      <c r="B36" s="2"/>
      <c r="C36" s="100"/>
      <c r="D36" s="36"/>
      <c r="F36" s="201" t="s">
        <v>37</v>
      </c>
      <c r="G36" s="265">
        <f>G23</f>
        <v>1968489</v>
      </c>
      <c r="H36" s="391">
        <v>0.38496999999999998</v>
      </c>
      <c r="I36" s="197">
        <f t="shared" ref="I36:I42" si="2">G36*H36</f>
        <v>757809.21032999991</v>
      </c>
      <c r="J36" s="201" t="s">
        <v>37</v>
      </c>
      <c r="K36" s="265">
        <f>K23</f>
        <v>985347</v>
      </c>
      <c r="L36" s="391">
        <v>0.38272</v>
      </c>
      <c r="M36" s="197">
        <f t="shared" ref="M36:M42" si="3">K36*L36</f>
        <v>377112.00384000002</v>
      </c>
      <c r="P36" s="275"/>
      <c r="Q36" s="275"/>
    </row>
    <row r="37" spans="1:17">
      <c r="A37" s="7" t="s">
        <v>129</v>
      </c>
      <c r="B37" s="540" t="s">
        <v>115</v>
      </c>
      <c r="C37" s="122">
        <v>15997171.869999999</v>
      </c>
      <c r="D37" s="36"/>
      <c r="F37" s="201" t="s">
        <v>38</v>
      </c>
      <c r="G37" s="265">
        <f t="shared" ref="G37:G42" si="4">G24</f>
        <v>1561904</v>
      </c>
      <c r="H37" s="391">
        <v>0.38496999999999998</v>
      </c>
      <c r="I37" s="197">
        <f t="shared" si="2"/>
        <v>601286.18287999998</v>
      </c>
      <c r="J37" s="201" t="s">
        <v>38</v>
      </c>
      <c r="K37" s="265">
        <f>K24</f>
        <v>1089173</v>
      </c>
      <c r="L37" s="391">
        <v>0.38272</v>
      </c>
      <c r="M37" s="197">
        <f t="shared" si="3"/>
        <v>416848.29055999999</v>
      </c>
      <c r="P37" s="275"/>
      <c r="Q37" s="275"/>
    </row>
    <row r="38" spans="1:17">
      <c r="A38" s="144" t="s">
        <v>14</v>
      </c>
      <c r="B38" s="540" t="s">
        <v>115</v>
      </c>
      <c r="C38" s="122">
        <v>0</v>
      </c>
      <c r="D38" s="36"/>
      <c r="F38" s="201" t="s">
        <v>39</v>
      </c>
      <c r="G38" s="265">
        <f t="shared" si="4"/>
        <v>0</v>
      </c>
      <c r="H38" s="391">
        <v>0.38496999999999998</v>
      </c>
      <c r="I38" s="197">
        <f t="shared" si="2"/>
        <v>0</v>
      </c>
      <c r="J38" s="201" t="s">
        <v>39</v>
      </c>
      <c r="K38" s="265">
        <f>K25</f>
        <v>21920</v>
      </c>
      <c r="L38" s="391">
        <v>0.38272</v>
      </c>
      <c r="M38" s="197">
        <f t="shared" si="3"/>
        <v>8389.2224000000006</v>
      </c>
      <c r="P38" s="275"/>
      <c r="Q38" s="275"/>
    </row>
    <row r="39" spans="1:17">
      <c r="A39" s="7" t="s">
        <v>146</v>
      </c>
      <c r="B39" s="540" t="s">
        <v>147</v>
      </c>
      <c r="C39" s="122">
        <v>-21681.82</v>
      </c>
      <c r="D39" s="36"/>
      <c r="F39" s="201" t="s">
        <v>40</v>
      </c>
      <c r="G39" s="265">
        <f t="shared" si="4"/>
        <v>322862</v>
      </c>
      <c r="H39" s="391">
        <v>0.38496999999999998</v>
      </c>
      <c r="I39" s="197">
        <f t="shared" si="2"/>
        <v>124292.18414</v>
      </c>
      <c r="J39" s="201" t="s">
        <v>40</v>
      </c>
      <c r="K39" s="265">
        <f>K26</f>
        <v>0</v>
      </c>
      <c r="L39" s="391">
        <v>0.38272</v>
      </c>
      <c r="M39" s="197">
        <f t="shared" si="3"/>
        <v>0</v>
      </c>
      <c r="P39" s="275"/>
      <c r="Q39" s="275"/>
    </row>
    <row r="40" spans="1:17">
      <c r="A40" s="7" t="s">
        <v>131</v>
      </c>
      <c r="B40" s="540" t="s">
        <v>132</v>
      </c>
      <c r="C40" s="122">
        <v>-36176.26</v>
      </c>
      <c r="D40" s="36"/>
      <c r="F40" s="201" t="s">
        <v>41</v>
      </c>
      <c r="G40" s="265">
        <f t="shared" si="4"/>
        <v>30135</v>
      </c>
      <c r="H40" s="391">
        <v>0.38496999999999998</v>
      </c>
      <c r="I40" s="197">
        <f t="shared" si="2"/>
        <v>11601.070949999999</v>
      </c>
      <c r="J40" s="201" t="s">
        <v>41</v>
      </c>
      <c r="K40" s="265">
        <f>K27</f>
        <v>0</v>
      </c>
      <c r="L40" s="391">
        <v>0.38272</v>
      </c>
      <c r="M40" s="197">
        <f t="shared" si="3"/>
        <v>0</v>
      </c>
      <c r="P40" s="275"/>
      <c r="Q40" s="275"/>
    </row>
    <row r="41" spans="1:17">
      <c r="A41" s="7" t="s">
        <v>153</v>
      </c>
      <c r="B41" s="6" t="s">
        <v>155</v>
      </c>
      <c r="C41" s="122">
        <v>-98447.05</v>
      </c>
      <c r="D41" s="36"/>
      <c r="F41" s="201" t="s">
        <v>42</v>
      </c>
      <c r="G41" s="265">
        <f t="shared" si="4"/>
        <v>0</v>
      </c>
      <c r="H41" s="391">
        <v>0.38496999999999998</v>
      </c>
      <c r="I41" s="197">
        <f t="shared" si="2"/>
        <v>0</v>
      </c>
      <c r="J41" s="201" t="s">
        <v>42</v>
      </c>
      <c r="K41" s="264">
        <v>0</v>
      </c>
      <c r="L41" s="391">
        <v>0.38272</v>
      </c>
      <c r="M41" s="197">
        <f t="shared" si="3"/>
        <v>0</v>
      </c>
      <c r="P41" s="275"/>
      <c r="Q41" s="275"/>
    </row>
    <row r="42" spans="1:17" ht="16" thickBot="1">
      <c r="A42" s="7" t="s">
        <v>179</v>
      </c>
      <c r="B42" s="540" t="s">
        <v>180</v>
      </c>
      <c r="C42" s="122">
        <v>1389622.96</v>
      </c>
      <c r="D42" s="37"/>
      <c r="F42" s="201" t="s">
        <v>43</v>
      </c>
      <c r="G42" s="265">
        <f t="shared" si="4"/>
        <v>56511</v>
      </c>
      <c r="H42" s="391">
        <v>0.38496999999999998</v>
      </c>
      <c r="I42" s="197">
        <f t="shared" si="2"/>
        <v>21755.039669999998</v>
      </c>
      <c r="J42" s="201" t="s">
        <v>43</v>
      </c>
      <c r="K42" s="266">
        <v>0</v>
      </c>
      <c r="L42" s="391">
        <v>0.38272</v>
      </c>
      <c r="M42" s="197">
        <f t="shared" si="3"/>
        <v>0</v>
      </c>
      <c r="P42" s="275"/>
      <c r="Q42" s="275"/>
    </row>
    <row r="43" spans="1:17" ht="16" thickBot="1">
      <c r="A43" s="85" t="s">
        <v>123</v>
      </c>
      <c r="B43" s="12"/>
      <c r="C43" s="125">
        <f>SUM(C37:C42)</f>
        <v>17230489.699999999</v>
      </c>
      <c r="D43" s="36"/>
      <c r="F43" s="200" t="s">
        <v>133</v>
      </c>
      <c r="G43" s="182">
        <f>SUM(G36:G42)</f>
        <v>3939901</v>
      </c>
      <c r="H43" s="183"/>
      <c r="I43" s="198">
        <f>SUM(I36:I42)</f>
        <v>1516743.6879700001</v>
      </c>
      <c r="J43" s="200" t="s">
        <v>133</v>
      </c>
      <c r="K43" s="182">
        <f>SUM(K36:K42)</f>
        <v>2096440</v>
      </c>
      <c r="L43" s="183"/>
      <c r="M43" s="198">
        <f>SUM(M36:M42)</f>
        <v>802349.51679999998</v>
      </c>
    </row>
    <row r="44" spans="1:17" ht="16" thickBot="1">
      <c r="A44" s="83" t="s">
        <v>178</v>
      </c>
      <c r="B44" s="84" t="s">
        <v>120</v>
      </c>
      <c r="C44" s="242">
        <f>4757787.19-2551846.53</f>
        <v>2205940.6600000006</v>
      </c>
      <c r="D44" s="37"/>
      <c r="F44" s="189"/>
      <c r="G44" s="233">
        <v>3939901</v>
      </c>
      <c r="H44" s="190" t="s">
        <v>102</v>
      </c>
      <c r="I44" s="216">
        <f>I43/G43</f>
        <v>0.38497000000000003</v>
      </c>
      <c r="J44" s="195"/>
      <c r="K44" s="233">
        <v>2096440</v>
      </c>
      <c r="L44" s="190" t="s">
        <v>102</v>
      </c>
      <c r="M44" s="218">
        <f>M43/K43</f>
        <v>0.38272</v>
      </c>
    </row>
    <row r="45" spans="1:17">
      <c r="A45" s="212" t="s">
        <v>168</v>
      </c>
      <c r="B45" s="6" t="s">
        <v>115</v>
      </c>
      <c r="C45" s="122">
        <v>0</v>
      </c>
      <c r="D45" s="39"/>
      <c r="F45" s="387"/>
      <c r="G45" s="231">
        <f>G43-G44</f>
        <v>0</v>
      </c>
      <c r="H45" s="387"/>
      <c r="I45" s="387"/>
      <c r="J45" s="124"/>
      <c r="K45" s="231">
        <f>K43-K44</f>
        <v>0</v>
      </c>
      <c r="L45" s="387"/>
      <c r="M45" s="124"/>
    </row>
    <row r="46" spans="1:17" ht="19.5" customHeight="1" thickBot="1">
      <c r="A46" s="144" t="s">
        <v>169</v>
      </c>
      <c r="B46" s="6" t="s">
        <v>115</v>
      </c>
      <c r="C46" s="122">
        <v>0</v>
      </c>
      <c r="D46" s="40"/>
      <c r="F46" s="387"/>
      <c r="G46" s="387"/>
      <c r="H46" s="387"/>
      <c r="I46" s="387"/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>
        <v>23120.18</v>
      </c>
      <c r="D47" s="36"/>
      <c r="F47" s="387"/>
      <c r="G47" s="114"/>
      <c r="H47" s="129" t="s">
        <v>35</v>
      </c>
      <c r="I47" s="13" t="s">
        <v>35</v>
      </c>
      <c r="J47" s="13" t="s">
        <v>63</v>
      </c>
      <c r="K47" s="127" t="s">
        <v>70</v>
      </c>
      <c r="L47" s="124"/>
      <c r="M47" s="387"/>
    </row>
    <row r="48" spans="1:17" ht="16" thickBot="1">
      <c r="A48" s="144" t="s">
        <v>222</v>
      </c>
      <c r="B48" s="6" t="s">
        <v>115</v>
      </c>
      <c r="C48" s="122">
        <v>5000</v>
      </c>
      <c r="D48" s="36"/>
      <c r="F48" s="50" t="s">
        <v>73</v>
      </c>
      <c r="G48" s="387"/>
      <c r="H48" s="130" t="s">
        <v>2</v>
      </c>
      <c r="I48" s="131" t="s">
        <v>3</v>
      </c>
      <c r="J48" s="131" t="s">
        <v>2</v>
      </c>
      <c r="K48" s="128" t="s">
        <v>3</v>
      </c>
      <c r="L48" s="387"/>
      <c r="M48" s="387"/>
    </row>
    <row r="49" spans="1:21">
      <c r="A49" s="7" t="s">
        <v>130</v>
      </c>
      <c r="B49" s="540" t="s">
        <v>152</v>
      </c>
      <c r="C49" s="122">
        <v>28909.57</v>
      </c>
      <c r="D49" s="36"/>
      <c r="F49" s="387"/>
      <c r="G49" s="387"/>
      <c r="H49" s="151"/>
      <c r="I49" s="152"/>
      <c r="J49" s="152"/>
      <c r="K49" s="152"/>
      <c r="L49" s="126" t="s">
        <v>103</v>
      </c>
      <c r="M49" s="387"/>
    </row>
    <row r="50" spans="1:21">
      <c r="A50" s="7" t="s">
        <v>175</v>
      </c>
      <c r="B50" s="540" t="s">
        <v>152</v>
      </c>
      <c r="C50" s="122">
        <v>2996.97</v>
      </c>
      <c r="D50" s="37"/>
      <c r="F50" s="387" t="s">
        <v>136</v>
      </c>
      <c r="G50" s="387"/>
      <c r="H50" s="213">
        <f>K12</f>
        <v>5567.3525299990288</v>
      </c>
      <c r="I50" s="115">
        <f>I14</f>
        <v>1801246.5547999998</v>
      </c>
      <c r="J50" s="115">
        <f>L12</f>
        <v>-1493.7725300005186</v>
      </c>
      <c r="K50" s="115">
        <f>J14</f>
        <v>741450.44519999984</v>
      </c>
      <c r="L50" s="132">
        <f>SUM(H50:K50)</f>
        <v>2546770.5799999982</v>
      </c>
      <c r="M50" s="387"/>
    </row>
    <row r="51" spans="1:21" ht="16" thickBot="1">
      <c r="A51" s="7" t="s">
        <v>224</v>
      </c>
      <c r="B51" s="540" t="s">
        <v>152</v>
      </c>
      <c r="C51" s="122">
        <v>7394.2</v>
      </c>
      <c r="D51" s="36"/>
      <c r="F51" s="386" t="s">
        <v>109</v>
      </c>
      <c r="H51" s="213">
        <f>-I43</f>
        <v>-1516743.6879700001</v>
      </c>
      <c r="I51" s="115">
        <f>-I31</f>
        <v>-453698.21486999997</v>
      </c>
      <c r="J51" s="115">
        <f>-M43</f>
        <v>-802349.51679999998</v>
      </c>
      <c r="K51" s="115">
        <f>-M28</f>
        <v>-224759.33240000001</v>
      </c>
      <c r="L51" s="263">
        <f>SUM(H51:K51)</f>
        <v>-2997550.7520400002</v>
      </c>
    </row>
    <row r="52" spans="1:21" ht="16" thickBot="1">
      <c r="A52" s="680" t="s">
        <v>118</v>
      </c>
      <c r="B52" s="681"/>
      <c r="C52" s="259">
        <f>-C33</f>
        <v>134717.94999999998</v>
      </c>
      <c r="D52" s="33"/>
      <c r="F52" s="386" t="s">
        <v>86</v>
      </c>
      <c r="H52" s="235">
        <v>0</v>
      </c>
      <c r="I52" s="236">
        <v>0</v>
      </c>
      <c r="J52" s="236">
        <v>0</v>
      </c>
      <c r="K52" s="237">
        <v>0</v>
      </c>
      <c r="L52" s="215">
        <f>SUM(L50:L51)</f>
        <v>-450780.17204000195</v>
      </c>
    </row>
    <row r="53" spans="1:21" ht="16" thickBot="1">
      <c r="A53" s="384" t="s">
        <v>124</v>
      </c>
      <c r="B53" s="475" t="s">
        <v>316</v>
      </c>
      <c r="C53" s="314">
        <v>-19337655.329999998</v>
      </c>
      <c r="D53" s="36"/>
      <c r="F53" s="386" t="s">
        <v>71</v>
      </c>
      <c r="H53" s="125">
        <f>IFERROR(H50+H51+H52,0)</f>
        <v>-1511176.335440001</v>
      </c>
      <c r="I53" s="125">
        <f>I50+I51+I52</f>
        <v>1347548.3399299998</v>
      </c>
      <c r="J53" s="125">
        <f>IFERROR(J50+J51+J52,0)</f>
        <v>-803843.28933000052</v>
      </c>
      <c r="K53" s="125">
        <f>K50+K51+K52</f>
        <v>516691.11279999983</v>
      </c>
      <c r="L53" s="47">
        <f>SUM(H53:K53)</f>
        <v>-450780.1720400019</v>
      </c>
    </row>
    <row r="54" spans="1:21" ht="16" thickBot="1">
      <c r="A54" s="386" t="s">
        <v>191</v>
      </c>
      <c r="B54" s="6" t="s">
        <v>192</v>
      </c>
      <c r="C54" s="122">
        <v>-375000</v>
      </c>
      <c r="D54" s="36"/>
      <c r="F54" s="241" t="s">
        <v>182</v>
      </c>
      <c r="H54" s="386" t="s">
        <v>173</v>
      </c>
      <c r="I54" s="5">
        <f>SUM(H53:I53)</f>
        <v>-163627.9955100012</v>
      </c>
      <c r="J54" s="15" t="s">
        <v>174</v>
      </c>
      <c r="K54" s="386">
        <f>SUM(J53:K53)</f>
        <v>-287152.1765300007</v>
      </c>
      <c r="L54" s="214">
        <f>ROUND(L52-L53,3)</f>
        <v>0</v>
      </c>
    </row>
    <row r="55" spans="1:21" ht="16.5" thickTop="1" thickBot="1">
      <c r="A55" s="82" t="s">
        <v>119</v>
      </c>
      <c r="B55" s="84"/>
      <c r="C55" s="160">
        <f>SUM(C43:C54)</f>
        <v>-74086.10000000149</v>
      </c>
      <c r="D55" s="36"/>
      <c r="F55" s="399" t="s">
        <v>182</v>
      </c>
      <c r="H55" s="96"/>
    </row>
    <row r="56" spans="1:21" ht="16.5" thickTop="1" thickBot="1">
      <c r="A56" s="386" t="s">
        <v>121</v>
      </c>
      <c r="B56" s="6" t="s">
        <v>115</v>
      </c>
      <c r="C56" s="122">
        <v>53923.35</v>
      </c>
      <c r="D56" s="36"/>
      <c r="F56" s="399" t="s">
        <v>183</v>
      </c>
      <c r="H56" s="157"/>
      <c r="I56" s="120"/>
      <c r="J56" s="120"/>
      <c r="K56" s="205"/>
      <c r="L56" s="120"/>
      <c r="T56" s="42"/>
    </row>
    <row r="57" spans="1:21">
      <c r="A57" s="386" t="s">
        <v>122</v>
      </c>
      <c r="B57" s="6" t="s">
        <v>115</v>
      </c>
      <c r="C57" s="122">
        <v>24236.33</v>
      </c>
      <c r="D57" s="36"/>
      <c r="F57" s="551" t="s">
        <v>323</v>
      </c>
      <c r="G57" s="552" t="str">
        <f>IF(OR(AND(I54&gt;0,K54&gt;0),AND(I54&lt;0,K54&lt;0)),"OK","ERROR")</f>
        <v>OK</v>
      </c>
      <c r="H57" s="388" t="s">
        <v>314</v>
      </c>
      <c r="I57" s="389"/>
    </row>
    <row r="58" spans="1:21" ht="16" thickBot="1">
      <c r="A58" s="2" t="s">
        <v>125</v>
      </c>
      <c r="B58" s="2"/>
      <c r="C58" s="160">
        <f>SUM(C55:C57)</f>
        <v>4073.5799999985102</v>
      </c>
      <c r="D58" s="36"/>
      <c r="H58" s="320" t="s">
        <v>176</v>
      </c>
      <c r="I58" s="321" t="s">
        <v>177</v>
      </c>
      <c r="J58" s="5"/>
    </row>
    <row r="59" spans="1:21" ht="16.5" thickTop="1" thickBot="1">
      <c r="A59" s="2"/>
      <c r="C59" s="101"/>
      <c r="D59" s="36"/>
      <c r="H59" s="351">
        <f>SUM('WA - Def-Amtz'!AL5:AL10,'WA - Def-Amtz'!AL41:AL46,'WA - Def-Amtz'!AL76:AL79,'ID - Def-Amtz '!AL5:AL10,'ID - Def-Amtz '!AL42:AL47,'ID - Def-Amtz '!AL75:AL80)</f>
        <v>7890436.3542569289</v>
      </c>
      <c r="I59" s="451">
        <f>SUM('WA - Def-Amtz'!AM5:AM10,'WA - Def-Amtz'!AM41:AM46,'WA - Def-Amtz'!AM76:AM79,'ID - Def-Amtz '!AM5:AM10,'ID - Def-Amtz '!AM42:AM47,'ID - Def-Amtz '!AM75:AM80)</f>
        <v>7890436.3542569289</v>
      </c>
      <c r="J59" s="386">
        <f>H51+I51+J51+K51</f>
        <v>-2997550.7520400002</v>
      </c>
    </row>
    <row r="60" spans="1:21" ht="16" thickBot="1">
      <c r="A60" s="9"/>
      <c r="B60" s="9" t="s">
        <v>95</v>
      </c>
      <c r="C60" s="125">
        <f>C58+C34</f>
        <v>2546770.5799999982</v>
      </c>
      <c r="D60" s="36"/>
      <c r="G60" s="5"/>
      <c r="I60" s="340">
        <f>H59-I59</f>
        <v>0</v>
      </c>
    </row>
    <row r="61" spans="1:21">
      <c r="A61" s="2"/>
      <c r="B61" s="9" t="s">
        <v>160</v>
      </c>
      <c r="C61" s="352">
        <v>2546770.58</v>
      </c>
      <c r="D61" s="37"/>
    </row>
    <row r="62" spans="1:21">
      <c r="A62" s="9"/>
      <c r="B62" s="9" t="s">
        <v>159</v>
      </c>
      <c r="C62" s="259">
        <f>ROUND(C60-C61,2)</f>
        <v>0</v>
      </c>
      <c r="N62" s="5"/>
      <c r="O62" s="5"/>
      <c r="P62" s="21"/>
    </row>
    <row r="63" spans="1:21">
      <c r="A63" s="44"/>
      <c r="C63" s="353"/>
      <c r="D63" s="36"/>
      <c r="S63" s="6"/>
    </row>
    <row r="64" spans="1:21">
      <c r="A64" s="44"/>
      <c r="C64" s="8"/>
      <c r="D64" s="43"/>
      <c r="N64" s="22"/>
      <c r="U64" s="2"/>
    </row>
    <row r="65" spans="1:21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4 I60">
    <cfRule type="cellIs" dxfId="732" priority="7" stopIfTrue="1" operator="equal">
      <formula>0</formula>
    </cfRule>
    <cfRule type="cellIs" dxfId="731" priority="8" stopIfTrue="1" operator="notEqual">
      <formula>0</formula>
    </cfRule>
  </conditionalFormatting>
  <conditionalFormatting sqref="G33 G45 K30 K45">
    <cfRule type="cellIs" dxfId="730" priority="6" operator="notEqual">
      <formula>0</formula>
    </cfRule>
  </conditionalFormatting>
  <conditionalFormatting sqref="C62">
    <cfRule type="cellIs" dxfId="729" priority="4" stopIfTrue="1" operator="equal">
      <formula>0</formula>
    </cfRule>
    <cfRule type="cellIs" dxfId="728" priority="5" stopIfTrue="1" operator="notEqual">
      <formula>0</formula>
    </cfRule>
  </conditionalFormatting>
  <conditionalFormatting sqref="K30">
    <cfRule type="cellIs" dxfId="727" priority="3" operator="notEqual">
      <formula>0</formula>
    </cfRule>
  </conditionalFormatting>
  <conditionalFormatting sqref="G57">
    <cfRule type="cellIs" dxfId="726" priority="2" operator="equal">
      <formula>"ERROR"</formula>
    </cfRule>
  </conditionalFormatting>
  <conditionalFormatting sqref="G57">
    <cfRule type="cellIs" dxfId="72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2">
    <tabColor rgb="FF00CC66"/>
    <pageSetUpPr fitToPage="1"/>
  </sheetPr>
  <dimension ref="A1:U1484"/>
  <sheetViews>
    <sheetView showGridLines="0" zoomScale="85" zoomScaleNormal="85" workbookViewId="0">
      <selection activeCell="H59" sqref="H59"/>
    </sheetView>
  </sheetViews>
  <sheetFormatPr defaultColWidth="16" defaultRowHeight="15.5"/>
  <cols>
    <col min="1" max="1" width="44.8984375" style="386" customWidth="1"/>
    <col min="2" max="2" width="25.59765625" style="386" customWidth="1"/>
    <col min="3" max="3" width="25.296875" style="386" customWidth="1"/>
    <col min="4" max="4" width="2.69921875" style="30" customWidth="1"/>
    <col min="5" max="5" width="4.296875" style="386" customWidth="1"/>
    <col min="6" max="6" width="26.69921875" style="386" customWidth="1"/>
    <col min="7" max="7" width="19" style="386" customWidth="1"/>
    <col min="8" max="8" width="22" style="386" customWidth="1"/>
    <col min="9" max="9" width="20.3984375" style="386" customWidth="1"/>
    <col min="10" max="10" width="26.296875" style="386" customWidth="1"/>
    <col min="11" max="11" width="21.8984375" style="386" bestFit="1" customWidth="1"/>
    <col min="12" max="12" width="23.8984375" style="386" customWidth="1"/>
    <col min="13" max="13" width="20.8984375" style="386" bestFit="1" customWidth="1"/>
    <col min="14" max="15" width="16" style="386"/>
    <col min="16" max="16" width="16.296875" style="386" bestFit="1" customWidth="1"/>
    <col min="17" max="16384" width="16" style="386"/>
  </cols>
  <sheetData>
    <row r="1" spans="1:13" ht="16" thickBot="1">
      <c r="A1" s="145" t="s">
        <v>64</v>
      </c>
      <c r="B1" s="29"/>
      <c r="C1" s="534">
        <f>Jun!C1+1</f>
        <v>201507</v>
      </c>
      <c r="F1" s="534">
        <f>C1</f>
        <v>201507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>
      <c r="A4" s="387" t="s">
        <v>88</v>
      </c>
      <c r="C4" s="314">
        <v>4598122.63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98702.24</v>
      </c>
      <c r="D5" s="34"/>
      <c r="F5" s="387"/>
      <c r="G5" s="387"/>
      <c r="H5" s="11"/>
      <c r="I5" s="166">
        <v>0.70840000000000003</v>
      </c>
      <c r="J5" s="166">
        <f>1-I5</f>
        <v>0.29159999999999997</v>
      </c>
      <c r="K5" s="447">
        <f>ROUND(G43/(G43+K43),4)</f>
        <v>0.65459999999999996</v>
      </c>
      <c r="L5" s="447">
        <f>1-K5</f>
        <v>0.34540000000000004</v>
      </c>
      <c r="M5" s="387"/>
    </row>
    <row r="6" spans="1:13" ht="16" thickBot="1">
      <c r="A6" s="49" t="s">
        <v>30</v>
      </c>
      <c r="C6" s="315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" thickBot="1">
      <c r="A7" s="66" t="s">
        <v>140</v>
      </c>
      <c r="C7" s="100">
        <f>SUM(C4:C6)</f>
        <v>1380607.9300000002</v>
      </c>
      <c r="D7" s="35"/>
      <c r="F7" s="167" t="s">
        <v>139</v>
      </c>
      <c r="G7" s="167"/>
      <c r="H7" s="125">
        <f>C34</f>
        <v>2226153.7000000002</v>
      </c>
      <c r="I7" s="168">
        <f>H7*I5</f>
        <v>1577007.2810800001</v>
      </c>
      <c r="J7" s="168">
        <f>H7*J5</f>
        <v>649146.41891999997</v>
      </c>
      <c r="K7" s="168"/>
      <c r="L7" s="168"/>
      <c r="M7" s="387"/>
    </row>
    <row r="8" spans="1:13">
      <c r="A8" s="386" t="s">
        <v>89</v>
      </c>
      <c r="C8" s="314">
        <v>221816.12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>
      <c r="A9" s="387" t="s">
        <v>90</v>
      </c>
      <c r="C9" s="314">
        <f>6252.2+298.53</f>
        <v>6550.73</v>
      </c>
      <c r="D9" s="36"/>
      <c r="F9" s="167" t="s">
        <v>119</v>
      </c>
      <c r="G9" s="387"/>
      <c r="H9" s="168">
        <f>C55</f>
        <v>-78232.379999997094</v>
      </c>
      <c r="I9" s="168"/>
      <c r="J9" s="168"/>
      <c r="K9" s="168">
        <f>H9*K5</f>
        <v>-51210.915947998095</v>
      </c>
      <c r="L9" s="168">
        <f>H9*L5</f>
        <v>-27021.464051998999</v>
      </c>
      <c r="M9" s="387"/>
    </row>
    <row r="10" spans="1:13">
      <c r="A10" s="49" t="s">
        <v>91</v>
      </c>
      <c r="C10" s="315">
        <v>-3387.71</v>
      </c>
      <c r="D10" s="36"/>
      <c r="F10" s="170" t="s">
        <v>44</v>
      </c>
      <c r="G10" s="387"/>
      <c r="H10" s="168">
        <f>C56</f>
        <v>13978.67</v>
      </c>
      <c r="I10" s="168"/>
      <c r="J10" s="168"/>
      <c r="K10" s="168">
        <f>H10</f>
        <v>13978.67</v>
      </c>
      <c r="L10" s="168"/>
      <c r="M10" s="387"/>
    </row>
    <row r="11" spans="1:13">
      <c r="A11" s="66" t="s">
        <v>145</v>
      </c>
      <c r="C11" s="100">
        <f>SUM(C8:C10)</f>
        <v>224979.14</v>
      </c>
      <c r="D11" s="36"/>
      <c r="F11" s="170" t="s">
        <v>45</v>
      </c>
      <c r="G11" s="387"/>
      <c r="H11" s="171">
        <f>C57</f>
        <v>6852.42</v>
      </c>
      <c r="I11" s="168"/>
      <c r="J11" s="168"/>
      <c r="K11" s="171"/>
      <c r="L11" s="171">
        <f>H11</f>
        <v>6852.42</v>
      </c>
      <c r="M11" s="387"/>
    </row>
    <row r="12" spans="1:13">
      <c r="A12" s="386" t="s">
        <v>165</v>
      </c>
      <c r="C12" s="314">
        <f>239592.16-8759.42</f>
        <v>230832.74</v>
      </c>
      <c r="D12" s="36"/>
      <c r="F12" s="170" t="s">
        <v>138</v>
      </c>
      <c r="G12" s="387"/>
      <c r="H12" s="168">
        <f>H9+H10+H11</f>
        <v>-57401.289999997098</v>
      </c>
      <c r="I12" s="168"/>
      <c r="J12" s="168"/>
      <c r="K12" s="168">
        <f>SUM(K9:K11)</f>
        <v>-37232.245947998097</v>
      </c>
      <c r="L12" s="168">
        <f>SUM(L9:L11)</f>
        <v>-20169.044051999001</v>
      </c>
      <c r="M12" s="387"/>
    </row>
    <row r="13" spans="1:13" ht="16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" thickBot="1">
      <c r="A14" s="66" t="s">
        <v>92</v>
      </c>
      <c r="C14" s="100">
        <f>SUM(C12:C13)</f>
        <v>230832.74</v>
      </c>
      <c r="D14" s="37"/>
      <c r="F14" s="50" t="s">
        <v>69</v>
      </c>
      <c r="G14" s="176"/>
      <c r="H14" s="125">
        <f>H12+H7</f>
        <v>2168752.4100000029</v>
      </c>
      <c r="I14" s="177">
        <f>SUM(I7:I13)</f>
        <v>1577007.2810800001</v>
      </c>
      <c r="J14" s="177">
        <f>SUM(J7:J13)</f>
        <v>649146.41891999997</v>
      </c>
      <c r="K14" s="177">
        <f>K12</f>
        <v>-37232.245947998097</v>
      </c>
      <c r="L14" s="177">
        <f>L12</f>
        <v>-20169.044051999001</v>
      </c>
      <c r="M14" s="387"/>
    </row>
    <row r="15" spans="1:13">
      <c r="A15" s="386" t="s">
        <v>184</v>
      </c>
      <c r="C15" s="314">
        <f>440451.61-16102.4</f>
        <v>424349.20999999996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6" thickBot="1">
      <c r="A17" s="66" t="s">
        <v>186</v>
      </c>
      <c r="C17" s="100">
        <f>SUM(C15:C16)</f>
        <v>424349.20999999996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" thickBot="1">
      <c r="A18" s="386" t="s">
        <v>163</v>
      </c>
      <c r="C18" s="314">
        <f>63722.6+726.65+6188.4</f>
        <v>70637.649999999994</v>
      </c>
      <c r="D18" s="36"/>
      <c r="F18" s="704" t="s">
        <v>134</v>
      </c>
      <c r="G18" s="705"/>
      <c r="H18" s="705"/>
      <c r="I18" s="706"/>
      <c r="J18" s="704" t="s">
        <v>135</v>
      </c>
      <c r="K18" s="705"/>
      <c r="L18" s="705"/>
      <c r="M18" s="706"/>
    </row>
    <row r="19" spans="1:13">
      <c r="A19" s="46" t="s">
        <v>164</v>
      </c>
      <c r="C19" s="315">
        <v>2420.21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" thickBot="1">
      <c r="A20" s="67" t="s">
        <v>93</v>
      </c>
      <c r="C20" s="100">
        <f>SUM(C18:C19)</f>
        <v>73057.86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>
      <c r="A23" s="209" t="s">
        <v>181</v>
      </c>
      <c r="C23" s="100">
        <v>0</v>
      </c>
      <c r="D23" s="36"/>
      <c r="F23" s="201" t="s">
        <v>37</v>
      </c>
      <c r="G23" s="264">
        <v>2145139</v>
      </c>
      <c r="H23" s="391">
        <v>0.1183</v>
      </c>
      <c r="I23" s="197">
        <f t="shared" ref="I23:I30" si="0">G23*H23</f>
        <v>253769.9437</v>
      </c>
      <c r="J23" s="201" t="s">
        <v>37</v>
      </c>
      <c r="K23" s="264">
        <v>990038</v>
      </c>
      <c r="L23" s="391">
        <v>0.10721</v>
      </c>
      <c r="M23" s="197">
        <f>K23*L23</f>
        <v>106141.97398</v>
      </c>
    </row>
    <row r="24" spans="1:13">
      <c r="A24" s="209" t="s">
        <v>187</v>
      </c>
      <c r="C24" s="314">
        <v>0</v>
      </c>
      <c r="D24" s="36"/>
      <c r="F24" s="201" t="s">
        <v>38</v>
      </c>
      <c r="G24" s="264">
        <v>1323231</v>
      </c>
      <c r="H24" s="391">
        <v>0.11607000000000001</v>
      </c>
      <c r="I24" s="197">
        <f t="shared" si="0"/>
        <v>153587.42217000001</v>
      </c>
      <c r="J24" s="201" t="s">
        <v>38</v>
      </c>
      <c r="K24" s="264">
        <v>964252</v>
      </c>
      <c r="L24" s="391">
        <v>0.10721</v>
      </c>
      <c r="M24" s="197">
        <f t="shared" ref="M24:M27" si="1">K24*L24</f>
        <v>103377.45692</v>
      </c>
    </row>
    <row r="25" spans="1:13">
      <c r="A25" s="209" t="s">
        <v>190</v>
      </c>
      <c r="C25" s="316">
        <v>0</v>
      </c>
      <c r="D25" s="36"/>
      <c r="F25" s="201" t="s">
        <v>39</v>
      </c>
      <c r="G25" s="264">
        <v>0</v>
      </c>
      <c r="H25" s="391">
        <v>0.11607000000000001</v>
      </c>
      <c r="I25" s="197">
        <f t="shared" si="0"/>
        <v>0</v>
      </c>
      <c r="J25" s="201" t="s">
        <v>39</v>
      </c>
      <c r="K25" s="264">
        <v>28026</v>
      </c>
      <c r="L25" s="391">
        <v>0.10721</v>
      </c>
      <c r="M25" s="197">
        <f t="shared" si="1"/>
        <v>3004.6674600000001</v>
      </c>
    </row>
    <row r="26" spans="1:13">
      <c r="A26" s="210" t="s">
        <v>189</v>
      </c>
      <c r="C26" s="317">
        <v>0</v>
      </c>
      <c r="D26" s="36"/>
      <c r="F26" s="201" t="s">
        <v>40</v>
      </c>
      <c r="G26" s="264">
        <v>247078</v>
      </c>
      <c r="H26" s="391">
        <v>9.783E-2</v>
      </c>
      <c r="I26" s="197">
        <f t="shared" si="0"/>
        <v>24171.640739999999</v>
      </c>
      <c r="J26" s="201" t="s">
        <v>40</v>
      </c>
      <c r="K26" s="264">
        <v>0</v>
      </c>
      <c r="L26" s="391">
        <v>0.10721</v>
      </c>
      <c r="M26" s="197">
        <f t="shared" si="1"/>
        <v>0</v>
      </c>
    </row>
    <row r="27" spans="1:13">
      <c r="A27" s="65" t="s">
        <v>96</v>
      </c>
      <c r="C27" s="100">
        <f>SUM(C23:C26)</f>
        <v>0</v>
      </c>
      <c r="D27" s="36"/>
      <c r="F27" s="201" t="s">
        <v>41</v>
      </c>
      <c r="G27" s="264">
        <v>28317</v>
      </c>
      <c r="H27" s="391">
        <v>9.783E-2</v>
      </c>
      <c r="I27" s="197">
        <f t="shared" si="0"/>
        <v>2770.2521099999999</v>
      </c>
      <c r="J27" s="201" t="s">
        <v>41</v>
      </c>
      <c r="K27" s="264">
        <v>0</v>
      </c>
      <c r="L27" s="391">
        <v>0.10721</v>
      </c>
      <c r="M27" s="197">
        <f t="shared" si="1"/>
        <v>0</v>
      </c>
    </row>
    <row r="28" spans="1:13" ht="16" thickBot="1">
      <c r="A28" s="211" t="s">
        <v>150</v>
      </c>
      <c r="C28" s="314">
        <v>0</v>
      </c>
      <c r="D28" s="37"/>
      <c r="F28" s="201" t="s">
        <v>42</v>
      </c>
      <c r="G28" s="264">
        <v>0</v>
      </c>
      <c r="H28" s="391">
        <v>6.9959999999999994E-2</v>
      </c>
      <c r="I28" s="197">
        <f t="shared" si="0"/>
        <v>0</v>
      </c>
      <c r="J28" s="200" t="s">
        <v>127</v>
      </c>
      <c r="K28" s="182">
        <f>SUM(K23:K27)</f>
        <v>1982316</v>
      </c>
      <c r="L28" s="183"/>
      <c r="M28" s="198">
        <f>SUM(M23:M27)</f>
        <v>212524.09835999997</v>
      </c>
    </row>
    <row r="29" spans="1:13" ht="16.5" thickTop="1" thickBot="1">
      <c r="A29" s="211" t="s">
        <v>167</v>
      </c>
      <c r="B29" s="387"/>
      <c r="C29" s="314">
        <v>0</v>
      </c>
      <c r="D29" s="36"/>
      <c r="F29" s="201" t="s">
        <v>43</v>
      </c>
      <c r="G29" s="264">
        <v>13364</v>
      </c>
      <c r="H29" s="391">
        <v>6.9959999999999994E-2</v>
      </c>
      <c r="I29" s="197">
        <f t="shared" si="0"/>
        <v>934.94543999999996</v>
      </c>
      <c r="J29" s="200"/>
      <c r="K29" s="232">
        <v>1982316</v>
      </c>
      <c r="L29" s="188" t="s">
        <v>102</v>
      </c>
      <c r="M29" s="467">
        <f>M28/K28</f>
        <v>0.10720999999999999</v>
      </c>
    </row>
    <row r="30" spans="1:13" ht="16" thickBot="1">
      <c r="A30" s="2" t="s">
        <v>111</v>
      </c>
      <c r="C30" s="125">
        <f>C7+C11+C14+C17+C20+C22+C27+C28+C29</f>
        <v>2333826.8800000004</v>
      </c>
      <c r="D30" s="37"/>
      <c r="F30" s="201" t="s">
        <v>74</v>
      </c>
      <c r="G30" s="264">
        <v>1912819</v>
      </c>
      <c r="H30" s="391">
        <v>5.4000000000000001E-4</v>
      </c>
      <c r="I30" s="197">
        <f t="shared" si="0"/>
        <v>1032.9222600000001</v>
      </c>
      <c r="J30" s="201"/>
      <c r="K30" s="231">
        <f>K28-K29</f>
        <v>0</v>
      </c>
      <c r="L30" s="183"/>
      <c r="M30" s="199"/>
    </row>
    <row r="31" spans="1:13" ht="16" thickBot="1">
      <c r="A31" s="386" t="s">
        <v>112</v>
      </c>
      <c r="C31" s="314">
        <v>0</v>
      </c>
      <c r="D31" s="39"/>
      <c r="F31" s="200" t="s">
        <v>127</v>
      </c>
      <c r="G31" s="182">
        <f>SUM(G23:G30)</f>
        <v>5669948</v>
      </c>
      <c r="H31" s="7"/>
      <c r="I31" s="198">
        <f>SUM(I23:I30)</f>
        <v>436267.12641999999</v>
      </c>
      <c r="J31" s="153"/>
      <c r="K31" s="7"/>
      <c r="L31" s="183"/>
      <c r="M31" s="199"/>
    </row>
    <row r="32" spans="1:13" ht="16" thickTop="1">
      <c r="A32" s="2" t="s">
        <v>116</v>
      </c>
      <c r="B32" s="2" t="s">
        <v>117</v>
      </c>
      <c r="C32" s="240">
        <f>C30+C31</f>
        <v>2333826.8800000004</v>
      </c>
      <c r="D32" s="40"/>
      <c r="F32" s="187"/>
      <c r="G32" s="232">
        <v>5669948</v>
      </c>
      <c r="H32" s="188" t="s">
        <v>102</v>
      </c>
      <c r="I32" s="217">
        <f>I31/G31</f>
        <v>7.6943761463068083E-2</v>
      </c>
      <c r="J32" s="193"/>
      <c r="K32" s="194"/>
      <c r="L32" s="7"/>
      <c r="M32" s="191"/>
    </row>
    <row r="33" spans="1:17" ht="16" thickBot="1">
      <c r="A33" s="386" t="s">
        <v>113</v>
      </c>
      <c r="C33" s="313">
        <f>-C5-C9-C13-C16-C19</f>
        <v>-107673.18000000001</v>
      </c>
      <c r="D33" s="36"/>
      <c r="F33" s="153"/>
      <c r="G33" s="231">
        <f>G31-G32</f>
        <v>0</v>
      </c>
      <c r="H33" s="7"/>
      <c r="I33" s="98"/>
      <c r="J33" s="193"/>
      <c r="K33" s="194"/>
      <c r="L33" s="7"/>
      <c r="M33" s="98"/>
    </row>
    <row r="34" spans="1:17" ht="16" thickBot="1">
      <c r="A34" s="2" t="s">
        <v>114</v>
      </c>
      <c r="C34" s="125">
        <f>SUM(C32:C33)</f>
        <v>2226153.7000000002</v>
      </c>
      <c r="D34" s="36"/>
      <c r="F34" s="185"/>
      <c r="G34" s="12"/>
      <c r="H34" s="12"/>
      <c r="I34" s="186"/>
      <c r="J34" s="193"/>
      <c r="K34" s="192"/>
      <c r="L34" s="7"/>
      <c r="M34" s="98"/>
    </row>
    <row r="35" spans="1:17" ht="18" customHeight="1">
      <c r="A35" s="2"/>
      <c r="C35" s="101"/>
      <c r="D35" s="36"/>
      <c r="F35" s="200" t="s">
        <v>128</v>
      </c>
      <c r="G35" s="7"/>
      <c r="H35" s="7"/>
      <c r="I35" s="98"/>
      <c r="J35" s="200" t="s">
        <v>128</v>
      </c>
      <c r="K35" s="702"/>
      <c r="L35" s="702"/>
      <c r="M35" s="703"/>
    </row>
    <row r="36" spans="1:17">
      <c r="A36" s="16" t="s">
        <v>94</v>
      </c>
      <c r="B36" s="2"/>
      <c r="C36" s="100"/>
      <c r="D36" s="36"/>
      <c r="F36" s="201" t="s">
        <v>37</v>
      </c>
      <c r="G36" s="265">
        <f>G23</f>
        <v>2145139</v>
      </c>
      <c r="H36" s="391">
        <v>0.38496999999999998</v>
      </c>
      <c r="I36" s="197">
        <f t="shared" ref="I36:I42" si="2">G36*H36</f>
        <v>825814.16082999995</v>
      </c>
      <c r="J36" s="201" t="s">
        <v>37</v>
      </c>
      <c r="K36" s="265">
        <f>K23</f>
        <v>990038</v>
      </c>
      <c r="L36" s="391">
        <v>0.38272</v>
      </c>
      <c r="M36" s="197">
        <f t="shared" ref="M36:M42" si="3">K36*L36</f>
        <v>378907.34336</v>
      </c>
      <c r="P36" s="275"/>
      <c r="Q36" s="275"/>
    </row>
    <row r="37" spans="1:17">
      <c r="A37" s="7" t="s">
        <v>129</v>
      </c>
      <c r="B37" s="540" t="s">
        <v>115</v>
      </c>
      <c r="C37" s="122">
        <v>12279845.109999999</v>
      </c>
      <c r="D37" s="36"/>
      <c r="F37" s="201" t="s">
        <v>38</v>
      </c>
      <c r="G37" s="265">
        <f t="shared" ref="G37:G42" si="4">G24</f>
        <v>1323231</v>
      </c>
      <c r="H37" s="391">
        <v>0.38496999999999998</v>
      </c>
      <c r="I37" s="197">
        <f t="shared" si="2"/>
        <v>509404.23806999996</v>
      </c>
      <c r="J37" s="201" t="s">
        <v>38</v>
      </c>
      <c r="K37" s="265">
        <f>K24</f>
        <v>964252</v>
      </c>
      <c r="L37" s="391">
        <v>0.38272</v>
      </c>
      <c r="M37" s="197">
        <f t="shared" si="3"/>
        <v>369038.52544</v>
      </c>
      <c r="P37" s="275"/>
      <c r="Q37" s="275"/>
    </row>
    <row r="38" spans="1:17">
      <c r="A38" s="144" t="s">
        <v>14</v>
      </c>
      <c r="B38" s="540" t="s">
        <v>115</v>
      </c>
      <c r="C38" s="122">
        <v>0</v>
      </c>
      <c r="D38" s="36"/>
      <c r="F38" s="201" t="s">
        <v>39</v>
      </c>
      <c r="G38" s="265">
        <f t="shared" si="4"/>
        <v>0</v>
      </c>
      <c r="H38" s="391">
        <v>0.38496999999999998</v>
      </c>
      <c r="I38" s="197">
        <f t="shared" si="2"/>
        <v>0</v>
      </c>
      <c r="J38" s="201" t="s">
        <v>39</v>
      </c>
      <c r="K38" s="265">
        <f>K25</f>
        <v>28026</v>
      </c>
      <c r="L38" s="391">
        <v>0.38272</v>
      </c>
      <c r="M38" s="197">
        <f t="shared" si="3"/>
        <v>10726.110720000001</v>
      </c>
      <c r="P38" s="275"/>
      <c r="Q38" s="275"/>
    </row>
    <row r="39" spans="1:17">
      <c r="A39" s="7" t="s">
        <v>146</v>
      </c>
      <c r="B39" s="540" t="s">
        <v>147</v>
      </c>
      <c r="C39" s="122">
        <v>-16135.11</v>
      </c>
      <c r="D39" s="36"/>
      <c r="F39" s="201" t="s">
        <v>40</v>
      </c>
      <c r="G39" s="265">
        <f t="shared" si="4"/>
        <v>247078</v>
      </c>
      <c r="H39" s="391">
        <v>0.38496999999999998</v>
      </c>
      <c r="I39" s="197">
        <f t="shared" si="2"/>
        <v>95117.617659999989</v>
      </c>
      <c r="J39" s="201" t="s">
        <v>40</v>
      </c>
      <c r="K39" s="265">
        <f>K26</f>
        <v>0</v>
      </c>
      <c r="L39" s="391">
        <v>0.38272</v>
      </c>
      <c r="M39" s="197">
        <f t="shared" si="3"/>
        <v>0</v>
      </c>
      <c r="P39" s="275"/>
      <c r="Q39" s="275"/>
    </row>
    <row r="40" spans="1:17">
      <c r="A40" s="7" t="s">
        <v>131</v>
      </c>
      <c r="B40" s="540" t="s">
        <v>132</v>
      </c>
      <c r="C40" s="122">
        <v>201327.19</v>
      </c>
      <c r="D40" s="36"/>
      <c r="F40" s="201" t="s">
        <v>41</v>
      </c>
      <c r="G40" s="265">
        <f t="shared" si="4"/>
        <v>28317</v>
      </c>
      <c r="H40" s="391">
        <v>0.38496999999999998</v>
      </c>
      <c r="I40" s="197">
        <f t="shared" si="2"/>
        <v>10901.19549</v>
      </c>
      <c r="J40" s="201" t="s">
        <v>41</v>
      </c>
      <c r="K40" s="265">
        <f>K27</f>
        <v>0</v>
      </c>
      <c r="L40" s="391">
        <v>0.38272</v>
      </c>
      <c r="M40" s="197">
        <f t="shared" si="3"/>
        <v>0</v>
      </c>
      <c r="P40" s="275"/>
      <c r="Q40" s="275"/>
    </row>
    <row r="41" spans="1:17">
      <c r="A41" s="7" t="s">
        <v>153</v>
      </c>
      <c r="B41" s="6" t="s">
        <v>155</v>
      </c>
      <c r="C41" s="122">
        <v>46425.07</v>
      </c>
      <c r="D41" s="36"/>
      <c r="F41" s="201" t="s">
        <v>42</v>
      </c>
      <c r="G41" s="265">
        <f t="shared" si="4"/>
        <v>0</v>
      </c>
      <c r="H41" s="391">
        <v>0.38496999999999998</v>
      </c>
      <c r="I41" s="197">
        <f t="shared" si="2"/>
        <v>0</v>
      </c>
      <c r="J41" s="201" t="s">
        <v>42</v>
      </c>
      <c r="K41" s="264">
        <v>0</v>
      </c>
      <c r="L41" s="391">
        <v>0.38272</v>
      </c>
      <c r="M41" s="197">
        <f t="shared" si="3"/>
        <v>0</v>
      </c>
      <c r="P41" s="275"/>
      <c r="Q41" s="275"/>
    </row>
    <row r="42" spans="1:17" ht="16" thickBot="1">
      <c r="A42" s="7" t="s">
        <v>179</v>
      </c>
      <c r="B42" s="540" t="s">
        <v>180</v>
      </c>
      <c r="C42" s="122">
        <v>2507553.63</v>
      </c>
      <c r="D42" s="37"/>
      <c r="F42" s="201" t="s">
        <v>43</v>
      </c>
      <c r="G42" s="265">
        <f t="shared" si="4"/>
        <v>13364</v>
      </c>
      <c r="H42" s="391">
        <v>0.38496999999999998</v>
      </c>
      <c r="I42" s="197">
        <f t="shared" si="2"/>
        <v>5144.7390799999994</v>
      </c>
      <c r="J42" s="201" t="s">
        <v>43</v>
      </c>
      <c r="K42" s="266">
        <v>0</v>
      </c>
      <c r="L42" s="391">
        <v>0.38272</v>
      </c>
      <c r="M42" s="197">
        <f t="shared" si="3"/>
        <v>0</v>
      </c>
      <c r="P42" s="275"/>
      <c r="Q42" s="275"/>
    </row>
    <row r="43" spans="1:17" ht="16" thickBot="1">
      <c r="A43" s="85" t="s">
        <v>123</v>
      </c>
      <c r="B43" s="12"/>
      <c r="C43" s="125">
        <f>SUM(C37:C42)</f>
        <v>15019015.890000001</v>
      </c>
      <c r="D43" s="36"/>
      <c r="F43" s="200" t="s">
        <v>133</v>
      </c>
      <c r="G43" s="182">
        <f>SUM(G36:G42)</f>
        <v>3757129</v>
      </c>
      <c r="H43" s="183"/>
      <c r="I43" s="198">
        <f>SUM(I36:I42)</f>
        <v>1446381.9511299999</v>
      </c>
      <c r="J43" s="200" t="s">
        <v>133</v>
      </c>
      <c r="K43" s="182">
        <f>SUM(K36:K42)</f>
        <v>1982316</v>
      </c>
      <c r="L43" s="183"/>
      <c r="M43" s="198">
        <f>SUM(M36:M42)</f>
        <v>758671.97952000005</v>
      </c>
    </row>
    <row r="44" spans="1:17" ht="16" thickBot="1">
      <c r="A44" s="83" t="s">
        <v>178</v>
      </c>
      <c r="B44" s="84" t="s">
        <v>120</v>
      </c>
      <c r="C44" s="242">
        <f>2215388.04-3254912.69</f>
        <v>-1039524.6499999999</v>
      </c>
      <c r="D44" s="37"/>
      <c r="F44" s="189"/>
      <c r="G44" s="233">
        <v>3757129</v>
      </c>
      <c r="H44" s="190" t="s">
        <v>102</v>
      </c>
      <c r="I44" s="216">
        <f>I43/G43</f>
        <v>0.38496999999999998</v>
      </c>
      <c r="J44" s="195"/>
      <c r="K44" s="233">
        <v>1982316</v>
      </c>
      <c r="L44" s="190" t="s">
        <v>102</v>
      </c>
      <c r="M44" s="218">
        <f>M43/K43</f>
        <v>0.38272</v>
      </c>
    </row>
    <row r="45" spans="1:17">
      <c r="A45" s="212" t="s">
        <v>168</v>
      </c>
      <c r="B45" s="6" t="s">
        <v>115</v>
      </c>
      <c r="C45" s="122">
        <v>0</v>
      </c>
      <c r="D45" s="39"/>
      <c r="F45" s="387"/>
      <c r="G45" s="231">
        <f>G43-G44</f>
        <v>0</v>
      </c>
      <c r="H45" s="387"/>
      <c r="I45" s="387"/>
      <c r="J45" s="124"/>
      <c r="K45" s="231">
        <f>K43-K44</f>
        <v>0</v>
      </c>
      <c r="L45" s="387"/>
      <c r="M45" s="124"/>
    </row>
    <row r="46" spans="1:17" ht="19.5" customHeight="1" thickBot="1">
      <c r="A46" s="144" t="s">
        <v>169</v>
      </c>
      <c r="B46" s="6" t="s">
        <v>115</v>
      </c>
      <c r="C46" s="122">
        <v>0</v>
      </c>
      <c r="D46" s="40"/>
      <c r="F46" s="387"/>
      <c r="G46" s="387"/>
      <c r="H46" s="387"/>
      <c r="I46" s="387"/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114"/>
      <c r="H47" s="129" t="s">
        <v>35</v>
      </c>
      <c r="I47" s="13" t="s">
        <v>35</v>
      </c>
      <c r="J47" s="13" t="s">
        <v>63</v>
      </c>
      <c r="K47" s="127" t="s">
        <v>70</v>
      </c>
      <c r="L47" s="124"/>
      <c r="M47" s="387"/>
    </row>
    <row r="48" spans="1:17" ht="16" thickBot="1">
      <c r="A48" s="144" t="s">
        <v>348</v>
      </c>
      <c r="B48" s="6" t="s">
        <v>115</v>
      </c>
      <c r="C48" s="122">
        <v>5000</v>
      </c>
      <c r="D48" s="36"/>
      <c r="F48" s="50" t="s">
        <v>73</v>
      </c>
      <c r="G48" s="387"/>
      <c r="H48" s="130" t="s">
        <v>2</v>
      </c>
      <c r="I48" s="131" t="s">
        <v>3</v>
      </c>
      <c r="J48" s="131" t="s">
        <v>2</v>
      </c>
      <c r="K48" s="128" t="s">
        <v>3</v>
      </c>
      <c r="L48" s="387"/>
      <c r="M48" s="387"/>
    </row>
    <row r="49" spans="1:21">
      <c r="A49" s="7" t="s">
        <v>130</v>
      </c>
      <c r="B49" s="540" t="s">
        <v>152</v>
      </c>
      <c r="C49" s="122">
        <v>26821.56</v>
      </c>
      <c r="D49" s="36"/>
      <c r="F49" s="387"/>
      <c r="G49" s="387"/>
      <c r="H49" s="151"/>
      <c r="I49" s="152"/>
      <c r="J49" s="152"/>
      <c r="K49" s="152"/>
      <c r="L49" s="126" t="s">
        <v>103</v>
      </c>
      <c r="M49" s="387"/>
    </row>
    <row r="50" spans="1:21">
      <c r="A50" s="7" t="s">
        <v>350</v>
      </c>
      <c r="B50" s="540" t="s">
        <v>152</v>
      </c>
      <c r="C50" s="122">
        <v>3474.48</v>
      </c>
      <c r="D50" s="37"/>
      <c r="F50" s="387" t="s">
        <v>136</v>
      </c>
      <c r="G50" s="387"/>
      <c r="H50" s="213">
        <f>K12</f>
        <v>-37232.245947998097</v>
      </c>
      <c r="I50" s="115">
        <f>I14</f>
        <v>1577007.2810800001</v>
      </c>
      <c r="J50" s="115">
        <f>L12</f>
        <v>-20169.044051999001</v>
      </c>
      <c r="K50" s="115">
        <f>J14</f>
        <v>649146.41891999997</v>
      </c>
      <c r="L50" s="132">
        <f>SUM(H50:K50)</f>
        <v>2168752.4100000029</v>
      </c>
      <c r="M50" s="387"/>
    </row>
    <row r="51" spans="1:21" ht="16" thickBot="1">
      <c r="A51" s="7" t="s">
        <v>224</v>
      </c>
      <c r="B51" s="540" t="s">
        <v>152</v>
      </c>
      <c r="C51" s="122">
        <v>7644.22</v>
      </c>
      <c r="D51" s="36"/>
      <c r="F51" s="386" t="s">
        <v>109</v>
      </c>
      <c r="H51" s="213">
        <f>-I43</f>
        <v>-1446381.9511299999</v>
      </c>
      <c r="I51" s="115">
        <f>-I31</f>
        <v>-436267.12641999999</v>
      </c>
      <c r="J51" s="115">
        <f>-M43</f>
        <v>-758671.97952000005</v>
      </c>
      <c r="K51" s="115">
        <f>-M28</f>
        <v>-212524.09835999997</v>
      </c>
      <c r="L51" s="263">
        <f>SUM(H51:K51)</f>
        <v>-2853845.1554300003</v>
      </c>
    </row>
    <row r="52" spans="1:21" ht="16" thickBot="1">
      <c r="A52" s="22" t="s">
        <v>118</v>
      </c>
      <c r="B52" s="6"/>
      <c r="C52" s="100">
        <f>-C33</f>
        <v>107673.18000000001</v>
      </c>
      <c r="D52" s="33"/>
      <c r="F52" s="386" t="s">
        <v>86</v>
      </c>
      <c r="H52" s="235">
        <v>0</v>
      </c>
      <c r="I52" s="236">
        <v>0</v>
      </c>
      <c r="J52" s="236">
        <v>0</v>
      </c>
      <c r="K52" s="237">
        <v>0</v>
      </c>
      <c r="L52" s="215">
        <f>SUM(L50:L51)</f>
        <v>-685092.74542999733</v>
      </c>
    </row>
    <row r="53" spans="1:21" ht="16" thickBot="1">
      <c r="A53" s="384" t="s">
        <v>124</v>
      </c>
      <c r="B53" s="475" t="s">
        <v>316</v>
      </c>
      <c r="C53" s="314">
        <f>-8567804.08-270527.7-4995005.28</f>
        <v>-13833337.059999999</v>
      </c>
      <c r="D53" s="36"/>
      <c r="F53" s="386" t="s">
        <v>71</v>
      </c>
      <c r="H53" s="125">
        <f>IFERROR(H50+H51+H52,0)</f>
        <v>-1483614.197077998</v>
      </c>
      <c r="I53" s="125">
        <f>I50+I51+I52</f>
        <v>1140740.15466</v>
      </c>
      <c r="J53" s="125">
        <f>IFERROR(J50+J51+J52,0)</f>
        <v>-778841.02357199905</v>
      </c>
      <c r="K53" s="125">
        <f>K50+K51+K52</f>
        <v>436622.32056000002</v>
      </c>
      <c r="L53" s="47">
        <f>SUM(H53:K53)</f>
        <v>-685092.74542999698</v>
      </c>
    </row>
    <row r="54" spans="1:21" ht="16" thickBot="1">
      <c r="A54" s="386" t="s">
        <v>191</v>
      </c>
      <c r="B54" s="6" t="s">
        <v>192</v>
      </c>
      <c r="C54" s="122">
        <v>-375000</v>
      </c>
      <c r="D54" s="36"/>
      <c r="F54" s="241" t="s">
        <v>182</v>
      </c>
      <c r="H54" s="386" t="s">
        <v>173</v>
      </c>
      <c r="I54" s="5">
        <f>SUM(H53:I53)</f>
        <v>-342874.04241799796</v>
      </c>
      <c r="J54" s="15" t="s">
        <v>174</v>
      </c>
      <c r="K54" s="386">
        <f>SUM(J53:K53)</f>
        <v>-342218.70301199902</v>
      </c>
      <c r="L54" s="214">
        <f>ROUND(L52-L53,3)</f>
        <v>0</v>
      </c>
    </row>
    <row r="55" spans="1:21" ht="16.5" thickTop="1" thickBot="1">
      <c r="A55" s="82" t="s">
        <v>119</v>
      </c>
      <c r="B55" s="84"/>
      <c r="C55" s="160">
        <f>SUM(C43:C54)</f>
        <v>-78232.379999997094</v>
      </c>
      <c r="D55" s="36"/>
      <c r="F55" s="399" t="s">
        <v>182</v>
      </c>
      <c r="H55" s="96"/>
    </row>
    <row r="56" spans="1:21" ht="16.5" thickTop="1" thickBot="1">
      <c r="A56" s="386" t="s">
        <v>121</v>
      </c>
      <c r="B56" s="6" t="s">
        <v>115</v>
      </c>
      <c r="C56" s="122">
        <v>13978.67</v>
      </c>
      <c r="D56" s="36"/>
      <c r="F56" s="399" t="s">
        <v>183</v>
      </c>
      <c r="H56" s="157"/>
      <c r="I56" s="120"/>
      <c r="J56" s="120"/>
      <c r="K56" s="205"/>
      <c r="L56" s="120"/>
      <c r="T56" s="42"/>
    </row>
    <row r="57" spans="1:21">
      <c r="A57" s="386" t="s">
        <v>122</v>
      </c>
      <c r="B57" s="6" t="s">
        <v>115</v>
      </c>
      <c r="C57" s="122">
        <v>6852.42</v>
      </c>
      <c r="D57" s="36"/>
      <c r="F57" s="551" t="s">
        <v>323</v>
      </c>
      <c r="G57" s="552" t="str">
        <f>IF(OR(AND(I54&gt;0,K54&gt;0),AND(I54&lt;0,K54&lt;0)),"OK","ERROR")</f>
        <v>OK</v>
      </c>
      <c r="H57" s="388" t="s">
        <v>314</v>
      </c>
      <c r="I57" s="389"/>
    </row>
    <row r="58" spans="1:21" ht="16" thickBot="1">
      <c r="A58" s="2" t="s">
        <v>125</v>
      </c>
      <c r="B58" s="2"/>
      <c r="C58" s="160">
        <f>SUM(C55:C57)</f>
        <v>-57401.289999997098</v>
      </c>
      <c r="D58" s="36"/>
      <c r="H58" s="320" t="s">
        <v>176</v>
      </c>
      <c r="I58" s="321" t="s">
        <v>177</v>
      </c>
      <c r="J58" s="5"/>
    </row>
    <row r="59" spans="1:21" ht="16.5" thickTop="1" thickBot="1">
      <c r="A59" s="2"/>
      <c r="C59" s="101"/>
      <c r="D59" s="36"/>
      <c r="H59" s="351">
        <f>SUM('WA - Def-Amtz'!AL5:AL10,'WA - Def-Amtz'!AL41:AL46,'WA - Def-Amtz'!AL76:AL79,'ID - Def-Amtz '!AL5:AL10,'ID - Def-Amtz '!AL42:AL47,'ID - Def-Amtz '!AL75:AL80)</f>
        <v>7890436.3542569289</v>
      </c>
      <c r="I59" s="451">
        <f>SUM('WA - Def-Amtz'!AM5:AM10,'WA - Def-Amtz'!AM41:AM46,'WA - Def-Amtz'!AM76:AM79,'ID - Def-Amtz '!AM5:AM10,'ID - Def-Amtz '!AM42:AM47,'ID - Def-Amtz '!AM75:AM80)</f>
        <v>7890436.3542569289</v>
      </c>
      <c r="J59" s="386">
        <f>H51+I51+J51+K51</f>
        <v>-2853845.1554300003</v>
      </c>
    </row>
    <row r="60" spans="1:21" ht="16" thickBot="1">
      <c r="A60" s="9"/>
      <c r="B60" s="9" t="s">
        <v>95</v>
      </c>
      <c r="C60" s="125">
        <f>C58+C34</f>
        <v>2168752.4100000029</v>
      </c>
      <c r="D60" s="36"/>
      <c r="G60" s="5"/>
      <c r="I60" s="340">
        <f>H59-I59</f>
        <v>0</v>
      </c>
    </row>
    <row r="61" spans="1:21">
      <c r="A61" s="2"/>
      <c r="B61" s="9" t="s">
        <v>160</v>
      </c>
      <c r="C61" s="352">
        <v>2168752.41</v>
      </c>
      <c r="D61" s="37"/>
    </row>
    <row r="62" spans="1:21">
      <c r="A62" s="9"/>
      <c r="B62" s="9" t="s">
        <v>159</v>
      </c>
      <c r="C62" s="259">
        <f>ROUND(C60-C61,2)</f>
        <v>0</v>
      </c>
      <c r="N62" s="5"/>
      <c r="O62" s="5"/>
      <c r="P62" s="21"/>
    </row>
    <row r="63" spans="1:21">
      <c r="A63" s="44"/>
      <c r="C63" s="353"/>
      <c r="D63" s="36"/>
      <c r="S63" s="6"/>
    </row>
    <row r="64" spans="1:21">
      <c r="A64" s="44"/>
      <c r="C64" s="8"/>
      <c r="D64" s="43"/>
      <c r="N64" s="22"/>
      <c r="U64" s="2"/>
    </row>
    <row r="65" spans="1:21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4 I60">
    <cfRule type="cellIs" dxfId="724" priority="7" stopIfTrue="1" operator="equal">
      <formula>0</formula>
    </cfRule>
    <cfRule type="cellIs" dxfId="723" priority="8" stopIfTrue="1" operator="notEqual">
      <formula>0</formula>
    </cfRule>
  </conditionalFormatting>
  <conditionalFormatting sqref="G33 G45 K30 K45">
    <cfRule type="cellIs" dxfId="722" priority="6" operator="notEqual">
      <formula>0</formula>
    </cfRule>
  </conditionalFormatting>
  <conditionalFormatting sqref="C62">
    <cfRule type="cellIs" dxfId="721" priority="4" stopIfTrue="1" operator="equal">
      <formula>0</formula>
    </cfRule>
    <cfRule type="cellIs" dxfId="720" priority="5" stopIfTrue="1" operator="notEqual">
      <formula>0</formula>
    </cfRule>
  </conditionalFormatting>
  <conditionalFormatting sqref="K30">
    <cfRule type="cellIs" dxfId="719" priority="3" operator="notEqual">
      <formula>0</formula>
    </cfRule>
  </conditionalFormatting>
  <conditionalFormatting sqref="G57">
    <cfRule type="cellIs" dxfId="718" priority="2" operator="equal">
      <formula>"ERROR"</formula>
    </cfRule>
  </conditionalFormatting>
  <conditionalFormatting sqref="G57">
    <cfRule type="cellIs" dxfId="717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B050"/>
    <pageSetUpPr fitToPage="1"/>
  </sheetPr>
  <dimension ref="A1:U1484"/>
  <sheetViews>
    <sheetView showGridLines="0" zoomScale="85" zoomScaleNormal="85" workbookViewId="0">
      <selection activeCell="H59" sqref="H59"/>
    </sheetView>
  </sheetViews>
  <sheetFormatPr defaultColWidth="16" defaultRowHeight="15.5"/>
  <cols>
    <col min="1" max="1" width="44.8984375" style="386" customWidth="1"/>
    <col min="2" max="2" width="25.59765625" style="386" customWidth="1"/>
    <col min="3" max="3" width="25.296875" style="386" customWidth="1"/>
    <col min="4" max="4" width="2.69921875" style="30" customWidth="1"/>
    <col min="5" max="5" width="4.296875" style="386" customWidth="1"/>
    <col min="6" max="6" width="26.69921875" style="386" customWidth="1"/>
    <col min="7" max="7" width="19" style="386" customWidth="1"/>
    <col min="8" max="8" width="22" style="386" customWidth="1"/>
    <col min="9" max="9" width="20.3984375" style="386" customWidth="1"/>
    <col min="10" max="10" width="26.296875" style="386" customWidth="1"/>
    <col min="11" max="11" width="21.8984375" style="386" bestFit="1" customWidth="1"/>
    <col min="12" max="12" width="23.8984375" style="386" customWidth="1"/>
    <col min="13" max="13" width="20.8984375" style="386" bestFit="1" customWidth="1"/>
    <col min="14" max="15" width="16" style="386"/>
    <col min="16" max="16" width="16.296875" style="386" bestFit="1" customWidth="1"/>
    <col min="17" max="16384" width="16" style="386"/>
  </cols>
  <sheetData>
    <row r="1" spans="1:13" ht="16" thickBot="1">
      <c r="A1" s="145" t="s">
        <v>64</v>
      </c>
      <c r="B1" s="29"/>
      <c r="C1" s="534">
        <f>Jul!C1+1</f>
        <v>201508</v>
      </c>
      <c r="F1" s="534">
        <f>C1</f>
        <v>201508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>
      <c r="A4" s="387" t="s">
        <v>88</v>
      </c>
      <c r="C4" s="314">
        <f>4598122.63+1688.63</f>
        <v>4599811.26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80578.5</v>
      </c>
      <c r="D5" s="34"/>
      <c r="F5" s="387"/>
      <c r="G5" s="387"/>
      <c r="H5" s="11"/>
      <c r="I5" s="166">
        <v>0.70840000000000003</v>
      </c>
      <c r="J5" s="166">
        <f>1-I5</f>
        <v>0.29159999999999997</v>
      </c>
      <c r="K5" s="447">
        <f>ROUND(G43/(G43+K43),4)</f>
        <v>0.6109</v>
      </c>
      <c r="L5" s="447">
        <f>1-K5</f>
        <v>0.3891</v>
      </c>
      <c r="M5" s="387"/>
    </row>
    <row r="6" spans="1:13" ht="16" thickBot="1">
      <c r="A6" s="49" t="s">
        <v>30</v>
      </c>
      <c r="C6" s="315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" thickBot="1">
      <c r="A7" s="66" t="s">
        <v>140</v>
      </c>
      <c r="C7" s="100">
        <f>SUM(C4:C6)</f>
        <v>1364172.8199999998</v>
      </c>
      <c r="D7" s="35"/>
      <c r="F7" s="167" t="s">
        <v>139</v>
      </c>
      <c r="G7" s="167"/>
      <c r="H7" s="125">
        <f>C34</f>
        <v>2290955.3199999998</v>
      </c>
      <c r="I7" s="168">
        <f>H7*I5</f>
        <v>1622912.748688</v>
      </c>
      <c r="J7" s="168">
        <f>H7*J5</f>
        <v>668042.57131199993</v>
      </c>
      <c r="K7" s="168"/>
      <c r="L7" s="168"/>
      <c r="M7" s="387"/>
    </row>
    <row r="8" spans="1:13">
      <c r="A8" s="386" t="s">
        <v>89</v>
      </c>
      <c r="C8" s="314">
        <v>265590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>
      <c r="A9" s="387" t="s">
        <v>90</v>
      </c>
      <c r="C9" s="314">
        <f>8596.9+1987.99</f>
        <v>10584.89</v>
      </c>
      <c r="D9" s="36"/>
      <c r="F9" s="167" t="s">
        <v>119</v>
      </c>
      <c r="G9" s="387"/>
      <c r="H9" s="168">
        <f>C55</f>
        <v>192468.98000000231</v>
      </c>
      <c r="I9" s="168"/>
      <c r="J9" s="168"/>
      <c r="K9" s="168">
        <f>H9*K5</f>
        <v>117579.2998820014</v>
      </c>
      <c r="L9" s="168">
        <f>H9*L5</f>
        <v>74889.680118000906</v>
      </c>
      <c r="M9" s="387"/>
    </row>
    <row r="10" spans="1:13">
      <c r="A10" s="49" t="s">
        <v>91</v>
      </c>
      <c r="C10" s="315">
        <v>-3387.71</v>
      </c>
      <c r="D10" s="36"/>
      <c r="F10" s="170" t="s">
        <v>44</v>
      </c>
      <c r="G10" s="387"/>
      <c r="H10" s="168">
        <f>C56</f>
        <v>-15571.41</v>
      </c>
      <c r="I10" s="168"/>
      <c r="J10" s="168"/>
      <c r="K10" s="168">
        <f>H10</f>
        <v>-15571.41</v>
      </c>
      <c r="L10" s="168"/>
      <c r="M10" s="387"/>
    </row>
    <row r="11" spans="1:13">
      <c r="A11" s="66" t="s">
        <v>145</v>
      </c>
      <c r="C11" s="100">
        <f>SUM(C8:C10)</f>
        <v>272787.18</v>
      </c>
      <c r="D11" s="36"/>
      <c r="F11" s="170" t="s">
        <v>45</v>
      </c>
      <c r="G11" s="387"/>
      <c r="H11" s="171">
        <f>C57</f>
        <v>-10422.35</v>
      </c>
      <c r="I11" s="168"/>
      <c r="J11" s="168"/>
      <c r="K11" s="171"/>
      <c r="L11" s="171">
        <f>H11</f>
        <v>-10422.35</v>
      </c>
      <c r="M11" s="387"/>
    </row>
    <row r="12" spans="1:13">
      <c r="A12" s="386" t="s">
        <v>165</v>
      </c>
      <c r="C12" s="314">
        <f>238180.95-980.25</f>
        <v>237200.7</v>
      </c>
      <c r="D12" s="36"/>
      <c r="F12" s="170" t="s">
        <v>138</v>
      </c>
      <c r="G12" s="387"/>
      <c r="H12" s="168">
        <f>H9+H10+H11</f>
        <v>166475.2200000023</v>
      </c>
      <c r="I12" s="168"/>
      <c r="J12" s="168"/>
      <c r="K12" s="168">
        <f>SUM(K9:K11)</f>
        <v>102007.8898820014</v>
      </c>
      <c r="L12" s="168">
        <f>SUM(L9:L11)</f>
        <v>64467.330118000908</v>
      </c>
      <c r="M12" s="387"/>
    </row>
    <row r="13" spans="1:13" ht="16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" thickBot="1">
      <c r="A14" s="66" t="s">
        <v>92</v>
      </c>
      <c r="C14" s="100">
        <f>SUM(C12:C13)</f>
        <v>237200.7</v>
      </c>
      <c r="D14" s="37"/>
      <c r="F14" s="50" t="s">
        <v>69</v>
      </c>
      <c r="G14" s="176"/>
      <c r="H14" s="125">
        <f>H12+H7</f>
        <v>2457430.5400000019</v>
      </c>
      <c r="I14" s="177">
        <f>SUM(I7:I13)</f>
        <v>1622912.748688</v>
      </c>
      <c r="J14" s="177">
        <f>SUM(J7:J13)</f>
        <v>668042.57131199993</v>
      </c>
      <c r="K14" s="177">
        <f>K12</f>
        <v>102007.8898820014</v>
      </c>
      <c r="L14" s="177">
        <f>L12</f>
        <v>64467.330118000908</v>
      </c>
      <c r="M14" s="387"/>
    </row>
    <row r="15" spans="1:13">
      <c r="A15" s="386" t="s">
        <v>184</v>
      </c>
      <c r="C15" s="314">
        <f>448866.31-1847.38</f>
        <v>447018.93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6" thickBot="1">
      <c r="A17" s="66" t="s">
        <v>186</v>
      </c>
      <c r="C17" s="100">
        <f>SUM(C15:C16)</f>
        <v>447018.93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" thickBot="1">
      <c r="A18" s="386" t="s">
        <v>163</v>
      </c>
      <c r="C18" s="314">
        <f>63347.27-284.04+6151.95</f>
        <v>69215.179999999993</v>
      </c>
      <c r="D18" s="36"/>
      <c r="F18" s="704" t="s">
        <v>134</v>
      </c>
      <c r="G18" s="705"/>
      <c r="H18" s="705"/>
      <c r="I18" s="706"/>
      <c r="J18" s="704" t="s">
        <v>135</v>
      </c>
      <c r="K18" s="705"/>
      <c r="L18" s="705"/>
      <c r="M18" s="706"/>
    </row>
    <row r="19" spans="1:13">
      <c r="A19" s="46" t="s">
        <v>164</v>
      </c>
      <c r="C19" s="315">
        <v>4615.53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" thickBot="1">
      <c r="A20" s="67" t="s">
        <v>93</v>
      </c>
      <c r="C20" s="100">
        <f>SUM(C18:C19)</f>
        <v>73830.709999999992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>
      <c r="A23" s="209" t="s">
        <v>181</v>
      </c>
      <c r="C23" s="100">
        <v>0</v>
      </c>
      <c r="D23" s="36"/>
      <c r="F23" s="201" t="s">
        <v>37</v>
      </c>
      <c r="G23" s="264">
        <v>1956853</v>
      </c>
      <c r="H23" s="391">
        <v>0.1183</v>
      </c>
      <c r="I23" s="197">
        <f t="shared" ref="I23:I30" si="0">G23*H23</f>
        <v>231495.70990000002</v>
      </c>
      <c r="J23" s="201" t="s">
        <v>37</v>
      </c>
      <c r="K23" s="264">
        <v>930531</v>
      </c>
      <c r="L23" s="391">
        <v>0.10721</v>
      </c>
      <c r="M23" s="197">
        <f>K23*L23</f>
        <v>99762.228510000001</v>
      </c>
    </row>
    <row r="24" spans="1:13">
      <c r="A24" s="209" t="s">
        <v>187</v>
      </c>
      <c r="C24" s="314">
        <v>0</v>
      </c>
      <c r="D24" s="36"/>
      <c r="F24" s="201" t="s">
        <v>38</v>
      </c>
      <c r="G24" s="264">
        <v>1284422</v>
      </c>
      <c r="H24" s="391">
        <v>0.11607000000000001</v>
      </c>
      <c r="I24" s="197">
        <f t="shared" si="0"/>
        <v>149082.86154000001</v>
      </c>
      <c r="J24" s="201" t="s">
        <v>38</v>
      </c>
      <c r="K24" s="264">
        <v>1322423</v>
      </c>
      <c r="L24" s="391">
        <v>0.10721</v>
      </c>
      <c r="M24" s="197">
        <f t="shared" ref="M24:M27" si="1">K24*L24</f>
        <v>141776.96982999999</v>
      </c>
    </row>
    <row r="25" spans="1:13">
      <c r="A25" s="209" t="s">
        <v>190</v>
      </c>
      <c r="C25" s="316">
        <v>0</v>
      </c>
      <c r="D25" s="36"/>
      <c r="F25" s="201" t="s">
        <v>39</v>
      </c>
      <c r="G25" s="264">
        <v>0</v>
      </c>
      <c r="H25" s="391">
        <v>0.11607000000000001</v>
      </c>
      <c r="I25" s="197">
        <f t="shared" si="0"/>
        <v>0</v>
      </c>
      <c r="J25" s="201" t="s">
        <v>39</v>
      </c>
      <c r="K25" s="264">
        <v>47622</v>
      </c>
      <c r="L25" s="391">
        <v>0.10721</v>
      </c>
      <c r="M25" s="197">
        <f t="shared" si="1"/>
        <v>5105.5546199999999</v>
      </c>
    </row>
    <row r="26" spans="1:13">
      <c r="A26" s="210" t="s">
        <v>189</v>
      </c>
      <c r="C26" s="317">
        <v>0</v>
      </c>
      <c r="D26" s="36"/>
      <c r="F26" s="201" t="s">
        <v>40</v>
      </c>
      <c r="G26" s="264">
        <v>274690</v>
      </c>
      <c r="H26" s="391">
        <v>9.783E-2</v>
      </c>
      <c r="I26" s="197">
        <f t="shared" si="0"/>
        <v>26872.922699999999</v>
      </c>
      <c r="J26" s="201" t="s">
        <v>40</v>
      </c>
      <c r="K26" s="264">
        <v>0</v>
      </c>
      <c r="L26" s="391">
        <v>0.10721</v>
      </c>
      <c r="M26" s="197">
        <f t="shared" si="1"/>
        <v>0</v>
      </c>
    </row>
    <row r="27" spans="1:13">
      <c r="A27" s="65" t="s">
        <v>96</v>
      </c>
      <c r="C27" s="100">
        <f>SUM(C23:C26)</f>
        <v>0</v>
      </c>
      <c r="D27" s="36"/>
      <c r="F27" s="201" t="s">
        <v>41</v>
      </c>
      <c r="G27" s="264">
        <v>27313</v>
      </c>
      <c r="H27" s="391">
        <v>9.783E-2</v>
      </c>
      <c r="I27" s="197">
        <f t="shared" si="0"/>
        <v>2672.0307899999998</v>
      </c>
      <c r="J27" s="201" t="s">
        <v>41</v>
      </c>
      <c r="K27" s="264">
        <v>0</v>
      </c>
      <c r="L27" s="391">
        <v>0.10721</v>
      </c>
      <c r="M27" s="197">
        <f t="shared" si="1"/>
        <v>0</v>
      </c>
    </row>
    <row r="28" spans="1:13" ht="16" thickBot="1">
      <c r="A28" s="211" t="s">
        <v>150</v>
      </c>
      <c r="C28" s="314">
        <v>0</v>
      </c>
      <c r="D28" s="37"/>
      <c r="F28" s="201" t="s">
        <v>42</v>
      </c>
      <c r="G28" s="264">
        <v>0</v>
      </c>
      <c r="H28" s="391">
        <v>6.9959999999999994E-2</v>
      </c>
      <c r="I28" s="197">
        <f t="shared" si="0"/>
        <v>0</v>
      </c>
      <c r="J28" s="200" t="s">
        <v>127</v>
      </c>
      <c r="K28" s="182">
        <f>SUM(K23:K27)</f>
        <v>2300576</v>
      </c>
      <c r="L28" s="183"/>
      <c r="M28" s="198">
        <f>SUM(M23:M27)</f>
        <v>246644.75296000001</v>
      </c>
    </row>
    <row r="29" spans="1:13" ht="16.5" thickTop="1" thickBot="1">
      <c r="A29" s="211" t="s">
        <v>167</v>
      </c>
      <c r="B29" s="387"/>
      <c r="C29" s="314">
        <v>0</v>
      </c>
      <c r="D29" s="36"/>
      <c r="F29" s="201" t="s">
        <v>43</v>
      </c>
      <c r="G29" s="264">
        <v>68158</v>
      </c>
      <c r="H29" s="391">
        <v>6.9959999999999994E-2</v>
      </c>
      <c r="I29" s="197">
        <f t="shared" si="0"/>
        <v>4768.3336799999997</v>
      </c>
      <c r="J29" s="200"/>
      <c r="K29" s="232">
        <v>2300576</v>
      </c>
      <c r="L29" s="188" t="s">
        <v>102</v>
      </c>
      <c r="M29" s="467">
        <f>M28/K28</f>
        <v>0.10721</v>
      </c>
    </row>
    <row r="30" spans="1:13" ht="16" thickBot="1">
      <c r="A30" s="2" t="s">
        <v>111</v>
      </c>
      <c r="C30" s="125">
        <f>C7+C11+C14+C17+C20+C22+C27+C28+C29</f>
        <v>2395010.34</v>
      </c>
      <c r="D30" s="37"/>
      <c r="F30" s="201" t="s">
        <v>74</v>
      </c>
      <c r="G30" s="264">
        <v>1943542</v>
      </c>
      <c r="H30" s="391">
        <v>5.4000000000000001E-4</v>
      </c>
      <c r="I30" s="197">
        <f t="shared" si="0"/>
        <v>1049.51268</v>
      </c>
      <c r="J30" s="201"/>
      <c r="K30" s="231">
        <f>K28-K29</f>
        <v>0</v>
      </c>
      <c r="L30" s="183"/>
      <c r="M30" s="199"/>
    </row>
    <row r="31" spans="1:13" ht="16" thickBot="1">
      <c r="A31" s="386" t="s">
        <v>112</v>
      </c>
      <c r="C31" s="314">
        <v>-8276.1</v>
      </c>
      <c r="D31" s="39"/>
      <c r="F31" s="200" t="s">
        <v>127</v>
      </c>
      <c r="G31" s="182">
        <f>SUM(G23:G30)</f>
        <v>5554978</v>
      </c>
      <c r="H31" s="7"/>
      <c r="I31" s="198">
        <f>SUM(I23:I30)</f>
        <v>415941.37128999998</v>
      </c>
      <c r="J31" s="153"/>
      <c r="K31" s="7"/>
      <c r="L31" s="183"/>
      <c r="M31" s="199"/>
    </row>
    <row r="32" spans="1:13" ht="16" thickTop="1">
      <c r="A32" s="2" t="s">
        <v>116</v>
      </c>
      <c r="B32" s="2" t="s">
        <v>117</v>
      </c>
      <c r="C32" s="240">
        <f>C30+C31</f>
        <v>2386734.2399999998</v>
      </c>
      <c r="D32" s="40"/>
      <c r="F32" s="187"/>
      <c r="G32" s="232">
        <v>5554978</v>
      </c>
      <c r="H32" s="188" t="s">
        <v>102</v>
      </c>
      <c r="I32" s="217">
        <f>I31/G31</f>
        <v>7.4877231069141945E-2</v>
      </c>
      <c r="J32" s="193"/>
      <c r="K32" s="194"/>
      <c r="L32" s="7"/>
      <c r="M32" s="191"/>
    </row>
    <row r="33" spans="1:17" ht="16" thickBot="1">
      <c r="A33" s="386" t="s">
        <v>113</v>
      </c>
      <c r="C33" s="313">
        <f>-C5-C9-C13-C16-C19</f>
        <v>-95778.92</v>
      </c>
      <c r="D33" s="36"/>
      <c r="F33" s="153"/>
      <c r="G33" s="231">
        <f>G31-G32</f>
        <v>0</v>
      </c>
      <c r="H33" s="7"/>
      <c r="I33" s="98"/>
      <c r="J33" s="193"/>
      <c r="K33" s="194"/>
      <c r="L33" s="7"/>
      <c r="M33" s="98"/>
    </row>
    <row r="34" spans="1:17" ht="16" thickBot="1">
      <c r="A34" s="2" t="s">
        <v>114</v>
      </c>
      <c r="C34" s="125">
        <f>SUM(C32:C33)</f>
        <v>2290955.3199999998</v>
      </c>
      <c r="D34" s="36"/>
      <c r="F34" s="185"/>
      <c r="G34" s="12"/>
      <c r="H34" s="12"/>
      <c r="I34" s="186"/>
      <c r="J34" s="193"/>
      <c r="K34" s="192"/>
      <c r="L34" s="7"/>
      <c r="M34" s="98"/>
    </row>
    <row r="35" spans="1:17" ht="18" customHeight="1">
      <c r="A35" s="2"/>
      <c r="C35" s="101"/>
      <c r="D35" s="36"/>
      <c r="F35" s="200" t="s">
        <v>128</v>
      </c>
      <c r="G35" s="7"/>
      <c r="H35" s="7"/>
      <c r="I35" s="98"/>
      <c r="J35" s="200" t="s">
        <v>128</v>
      </c>
      <c r="K35" s="702"/>
      <c r="L35" s="702"/>
      <c r="M35" s="703"/>
    </row>
    <row r="36" spans="1:17">
      <c r="A36" s="16" t="s">
        <v>94</v>
      </c>
      <c r="B36" s="2"/>
      <c r="C36" s="100"/>
      <c r="D36" s="36"/>
      <c r="F36" s="201" t="s">
        <v>37</v>
      </c>
      <c r="G36" s="265">
        <f>G23</f>
        <v>1956853</v>
      </c>
      <c r="H36" s="391">
        <v>0.38496999999999998</v>
      </c>
      <c r="I36" s="197">
        <f t="shared" ref="I36:I42" si="2">G36*H36</f>
        <v>753329.69941</v>
      </c>
      <c r="J36" s="201" t="s">
        <v>37</v>
      </c>
      <c r="K36" s="265">
        <f>K23</f>
        <v>930531</v>
      </c>
      <c r="L36" s="391">
        <v>0.38272</v>
      </c>
      <c r="M36" s="197">
        <f t="shared" ref="M36:M42" si="3">K36*L36</f>
        <v>356132.82432000001</v>
      </c>
      <c r="P36" s="275"/>
      <c r="Q36" s="275"/>
    </row>
    <row r="37" spans="1:17">
      <c r="A37" s="7" t="s">
        <v>129</v>
      </c>
      <c r="B37" s="540" t="s">
        <v>115</v>
      </c>
      <c r="C37" s="122">
        <v>16945386.760000002</v>
      </c>
      <c r="D37" s="36"/>
      <c r="F37" s="201" t="s">
        <v>38</v>
      </c>
      <c r="G37" s="265">
        <f t="shared" ref="G37:G42" si="4">G24</f>
        <v>1284422</v>
      </c>
      <c r="H37" s="391">
        <v>0.38496999999999998</v>
      </c>
      <c r="I37" s="197">
        <f t="shared" si="2"/>
        <v>494463.93733999995</v>
      </c>
      <c r="J37" s="201" t="s">
        <v>38</v>
      </c>
      <c r="K37" s="265">
        <f>K24</f>
        <v>1322423</v>
      </c>
      <c r="L37" s="391">
        <v>0.38272</v>
      </c>
      <c r="M37" s="197">
        <f t="shared" si="3"/>
        <v>506117.73056</v>
      </c>
      <c r="P37" s="275"/>
      <c r="Q37" s="275"/>
    </row>
    <row r="38" spans="1:17">
      <c r="A38" s="144" t="s">
        <v>14</v>
      </c>
      <c r="B38" s="540" t="s">
        <v>115</v>
      </c>
      <c r="C38" s="122">
        <v>0</v>
      </c>
      <c r="D38" s="36"/>
      <c r="F38" s="201" t="s">
        <v>39</v>
      </c>
      <c r="G38" s="265">
        <f t="shared" si="4"/>
        <v>0</v>
      </c>
      <c r="H38" s="391">
        <v>0.38496999999999998</v>
      </c>
      <c r="I38" s="197">
        <f t="shared" si="2"/>
        <v>0</v>
      </c>
      <c r="J38" s="201" t="s">
        <v>39</v>
      </c>
      <c r="K38" s="265">
        <f>K25</f>
        <v>47622</v>
      </c>
      <c r="L38" s="391">
        <v>0.38272</v>
      </c>
      <c r="M38" s="197">
        <f t="shared" si="3"/>
        <v>18225.89184</v>
      </c>
      <c r="P38" s="275"/>
      <c r="Q38" s="275"/>
    </row>
    <row r="39" spans="1:17">
      <c r="A39" s="7" t="s">
        <v>146</v>
      </c>
      <c r="B39" s="540" t="s">
        <v>147</v>
      </c>
      <c r="C39" s="122">
        <v>-20391.13</v>
      </c>
      <c r="D39" s="36"/>
      <c r="F39" s="201" t="s">
        <v>40</v>
      </c>
      <c r="G39" s="265">
        <f t="shared" si="4"/>
        <v>274690</v>
      </c>
      <c r="H39" s="391">
        <v>0.38496999999999998</v>
      </c>
      <c r="I39" s="197">
        <f t="shared" si="2"/>
        <v>105747.4093</v>
      </c>
      <c r="J39" s="201" t="s">
        <v>40</v>
      </c>
      <c r="K39" s="265">
        <f>K26</f>
        <v>0</v>
      </c>
      <c r="L39" s="391">
        <v>0.38272</v>
      </c>
      <c r="M39" s="197">
        <f t="shared" si="3"/>
        <v>0</v>
      </c>
      <c r="P39" s="275"/>
      <c r="Q39" s="275"/>
    </row>
    <row r="40" spans="1:17">
      <c r="A40" s="7" t="s">
        <v>131</v>
      </c>
      <c r="B40" s="540" t="s">
        <v>132</v>
      </c>
      <c r="C40" s="122">
        <v>-122616.61</v>
      </c>
      <c r="D40" s="36"/>
      <c r="F40" s="201" t="s">
        <v>41</v>
      </c>
      <c r="G40" s="265">
        <f t="shared" si="4"/>
        <v>27313</v>
      </c>
      <c r="H40" s="391">
        <v>0.38496999999999998</v>
      </c>
      <c r="I40" s="197">
        <f t="shared" si="2"/>
        <v>10514.685609999999</v>
      </c>
      <c r="J40" s="201" t="s">
        <v>41</v>
      </c>
      <c r="K40" s="265">
        <f>K27</f>
        <v>0</v>
      </c>
      <c r="L40" s="391">
        <v>0.38272</v>
      </c>
      <c r="M40" s="197">
        <f t="shared" si="3"/>
        <v>0</v>
      </c>
      <c r="P40" s="275"/>
      <c r="Q40" s="275"/>
    </row>
    <row r="41" spans="1:17">
      <c r="A41" s="7" t="s">
        <v>153</v>
      </c>
      <c r="B41" s="6" t="s">
        <v>155</v>
      </c>
      <c r="C41" s="122">
        <v>-69951.7</v>
      </c>
      <c r="D41" s="36"/>
      <c r="F41" s="201" t="s">
        <v>42</v>
      </c>
      <c r="G41" s="265">
        <f t="shared" si="4"/>
        <v>0</v>
      </c>
      <c r="H41" s="391">
        <v>0.38496999999999998</v>
      </c>
      <c r="I41" s="197">
        <f t="shared" si="2"/>
        <v>0</v>
      </c>
      <c r="J41" s="201" t="s">
        <v>42</v>
      </c>
      <c r="K41" s="264">
        <v>0</v>
      </c>
      <c r="L41" s="391">
        <v>0.38272</v>
      </c>
      <c r="M41" s="197">
        <f t="shared" si="3"/>
        <v>0</v>
      </c>
      <c r="P41" s="275"/>
      <c r="Q41" s="275"/>
    </row>
    <row r="42" spans="1:17" ht="16" thickBot="1">
      <c r="A42" s="7" t="s">
        <v>179</v>
      </c>
      <c r="B42" s="540" t="s">
        <v>180</v>
      </c>
      <c r="C42" s="122">
        <v>618103.44999999995</v>
      </c>
      <c r="D42" s="37"/>
      <c r="F42" s="201" t="s">
        <v>43</v>
      </c>
      <c r="G42" s="265">
        <f t="shared" si="4"/>
        <v>68158</v>
      </c>
      <c r="H42" s="391">
        <v>0.38496999999999998</v>
      </c>
      <c r="I42" s="197">
        <f t="shared" si="2"/>
        <v>26238.785259999997</v>
      </c>
      <c r="J42" s="201" t="s">
        <v>43</v>
      </c>
      <c r="K42" s="266">
        <v>0</v>
      </c>
      <c r="L42" s="391">
        <v>0.38272</v>
      </c>
      <c r="M42" s="197">
        <f t="shared" si="3"/>
        <v>0</v>
      </c>
      <c r="P42" s="275"/>
      <c r="Q42" s="275"/>
    </row>
    <row r="43" spans="1:17" ht="16" thickBot="1">
      <c r="A43" s="85" t="s">
        <v>123</v>
      </c>
      <c r="B43" s="12"/>
      <c r="C43" s="125">
        <f>SUM(C37:C42)</f>
        <v>17350530.770000003</v>
      </c>
      <c r="D43" s="36"/>
      <c r="F43" s="200" t="s">
        <v>133</v>
      </c>
      <c r="G43" s="182">
        <f>SUM(G36:G42)</f>
        <v>3611436</v>
      </c>
      <c r="H43" s="183"/>
      <c r="I43" s="198">
        <f>SUM(I36:I42)</f>
        <v>1390294.5169200001</v>
      </c>
      <c r="J43" s="200" t="s">
        <v>133</v>
      </c>
      <c r="K43" s="182">
        <f>SUM(K36:K42)</f>
        <v>2300576</v>
      </c>
      <c r="L43" s="183"/>
      <c r="M43" s="198">
        <f>SUM(M36:M42)</f>
        <v>880476.44672000001</v>
      </c>
    </row>
    <row r="44" spans="1:17" ht="16" thickBot="1">
      <c r="A44" s="83" t="s">
        <v>178</v>
      </c>
      <c r="B44" s="84" t="s">
        <v>120</v>
      </c>
      <c r="C44" s="242">
        <f>38177.52-4875516.86</f>
        <v>-4837339.3400000008</v>
      </c>
      <c r="D44" s="37"/>
      <c r="F44" s="189"/>
      <c r="G44" s="233">
        <v>3611436</v>
      </c>
      <c r="H44" s="190" t="s">
        <v>102</v>
      </c>
      <c r="I44" s="216">
        <f>I43/G43</f>
        <v>0.38497000000000003</v>
      </c>
      <c r="J44" s="195"/>
      <c r="K44" s="233">
        <v>2300576</v>
      </c>
      <c r="L44" s="190" t="s">
        <v>102</v>
      </c>
      <c r="M44" s="218">
        <f>M43/K43</f>
        <v>0.38272</v>
      </c>
    </row>
    <row r="45" spans="1:17">
      <c r="A45" s="212" t="s">
        <v>168</v>
      </c>
      <c r="B45" s="6" t="s">
        <v>115</v>
      </c>
      <c r="C45" s="122">
        <v>0</v>
      </c>
      <c r="D45" s="39"/>
      <c r="F45" s="387"/>
      <c r="G45" s="231">
        <f>G43-G44</f>
        <v>0</v>
      </c>
      <c r="H45" s="387"/>
      <c r="I45" s="387"/>
      <c r="J45" s="124"/>
      <c r="K45" s="231">
        <f>K43-K44</f>
        <v>0</v>
      </c>
      <c r="L45" s="387"/>
      <c r="M45" s="124"/>
    </row>
    <row r="46" spans="1:17" ht="19.5" customHeight="1" thickBot="1">
      <c r="A46" s="144" t="s">
        <v>169</v>
      </c>
      <c r="B46" s="6" t="s">
        <v>115</v>
      </c>
      <c r="C46" s="122">
        <v>0</v>
      </c>
      <c r="D46" s="40"/>
      <c r="F46" s="387"/>
      <c r="G46" s="387"/>
      <c r="H46" s="387"/>
      <c r="I46" s="387"/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114"/>
      <c r="H47" s="129" t="s">
        <v>35</v>
      </c>
      <c r="I47" s="13" t="s">
        <v>35</v>
      </c>
      <c r="J47" s="13" t="s">
        <v>63</v>
      </c>
      <c r="K47" s="127" t="s">
        <v>70</v>
      </c>
      <c r="L47" s="124"/>
      <c r="M47" s="387"/>
    </row>
    <row r="48" spans="1:17" ht="16" thickBot="1">
      <c r="A48" s="144" t="s">
        <v>348</v>
      </c>
      <c r="B48" s="6" t="s">
        <v>115</v>
      </c>
      <c r="C48" s="122">
        <v>5000</v>
      </c>
      <c r="D48" s="36"/>
      <c r="F48" s="50" t="s">
        <v>73</v>
      </c>
      <c r="G48" s="387"/>
      <c r="H48" s="130" t="s">
        <v>2</v>
      </c>
      <c r="I48" s="131" t="s">
        <v>3</v>
      </c>
      <c r="J48" s="131" t="s">
        <v>2</v>
      </c>
      <c r="K48" s="128" t="s">
        <v>3</v>
      </c>
      <c r="L48" s="387"/>
      <c r="M48" s="387"/>
    </row>
    <row r="49" spans="1:21">
      <c r="A49" s="7" t="s">
        <v>130</v>
      </c>
      <c r="B49" s="540" t="s">
        <v>152</v>
      </c>
      <c r="C49" s="122">
        <v>19226.71</v>
      </c>
      <c r="D49" s="36"/>
      <c r="F49" s="387"/>
      <c r="G49" s="387"/>
      <c r="H49" s="151"/>
      <c r="I49" s="152"/>
      <c r="J49" s="152"/>
      <c r="K49" s="152"/>
      <c r="L49" s="126" t="s">
        <v>103</v>
      </c>
      <c r="M49" s="387"/>
    </row>
    <row r="50" spans="1:21">
      <c r="A50" s="7" t="s">
        <v>350</v>
      </c>
      <c r="B50" s="540" t="s">
        <v>152</v>
      </c>
      <c r="C50" s="122">
        <v>986.02</v>
      </c>
      <c r="D50" s="37"/>
      <c r="F50" s="387" t="s">
        <v>136</v>
      </c>
      <c r="G50" s="387"/>
      <c r="H50" s="213">
        <f>K12</f>
        <v>102007.8898820014</v>
      </c>
      <c r="I50" s="115">
        <f>I14</f>
        <v>1622912.748688</v>
      </c>
      <c r="J50" s="115">
        <f>L12</f>
        <v>64467.330118000908</v>
      </c>
      <c r="K50" s="115">
        <f>J14</f>
        <v>668042.57131199993</v>
      </c>
      <c r="L50" s="132">
        <f>SUM(H50:K50)</f>
        <v>2457430.5400000024</v>
      </c>
      <c r="M50" s="387"/>
    </row>
    <row r="51" spans="1:21" ht="16" thickBot="1">
      <c r="A51" s="7" t="s">
        <v>224</v>
      </c>
      <c r="B51" s="540" t="s">
        <v>152</v>
      </c>
      <c r="C51" s="122">
        <v>3220.14</v>
      </c>
      <c r="D51" s="36"/>
      <c r="F51" s="386" t="s">
        <v>109</v>
      </c>
      <c r="H51" s="213">
        <f>-I43</f>
        <v>-1390294.5169200001</v>
      </c>
      <c r="I51" s="115">
        <f>-I31</f>
        <v>-415941.37128999998</v>
      </c>
      <c r="J51" s="115">
        <f>-M43</f>
        <v>-880476.44672000001</v>
      </c>
      <c r="K51" s="115">
        <f>-M28</f>
        <v>-246644.75296000001</v>
      </c>
      <c r="L51" s="263">
        <f>SUM(H51:K51)</f>
        <v>-2933357.0878900001</v>
      </c>
    </row>
    <row r="52" spans="1:21" ht="16" thickBot="1">
      <c r="A52" s="22" t="s">
        <v>118</v>
      </c>
      <c r="B52" s="6"/>
      <c r="C52" s="100">
        <f>-C33</f>
        <v>95778.92</v>
      </c>
      <c r="D52" s="33"/>
      <c r="F52" s="386" t="s">
        <v>86</v>
      </c>
      <c r="H52" s="235">
        <v>0</v>
      </c>
      <c r="I52" s="236">
        <v>0</v>
      </c>
      <c r="J52" s="236">
        <v>0</v>
      </c>
      <c r="K52" s="237">
        <v>0</v>
      </c>
      <c r="L52" s="215">
        <f>SUM(L50:L51)</f>
        <v>-475926.54788999772</v>
      </c>
    </row>
    <row r="53" spans="1:21" ht="16" thickBot="1">
      <c r="A53" s="384" t="s">
        <v>124</v>
      </c>
      <c r="B53" s="475" t="s">
        <v>316</v>
      </c>
      <c r="C53" s="314">
        <f>-7269757.11+1732.1-4801909.23</f>
        <v>-12069934.240000002</v>
      </c>
      <c r="D53" s="36"/>
      <c r="F53" s="386" t="s">
        <v>71</v>
      </c>
      <c r="H53" s="125">
        <f>IFERROR(H50+H51+H52,0)</f>
        <v>-1288286.6270379988</v>
      </c>
      <c r="I53" s="125">
        <f>I50+I51+I52</f>
        <v>1206971.3773980001</v>
      </c>
      <c r="J53" s="125">
        <f>IFERROR(J50+J51+J52,0)</f>
        <v>-816009.11660199915</v>
      </c>
      <c r="K53" s="125">
        <f>K50+K51+K52</f>
        <v>421397.81835199991</v>
      </c>
      <c r="L53" s="47">
        <f>SUM(H53:K53)</f>
        <v>-475926.54788999789</v>
      </c>
    </row>
    <row r="54" spans="1:21" ht="16" thickBot="1">
      <c r="A54" s="386" t="s">
        <v>191</v>
      </c>
      <c r="B54" s="6" t="s">
        <v>192</v>
      </c>
      <c r="C54" s="122">
        <v>-375000</v>
      </c>
      <c r="D54" s="36"/>
      <c r="F54" s="241" t="s">
        <v>182</v>
      </c>
      <c r="H54" s="386" t="s">
        <v>173</v>
      </c>
      <c r="I54" s="5">
        <f>SUM(H53:I53)</f>
        <v>-81315.249639998656</v>
      </c>
      <c r="J54" s="15" t="s">
        <v>174</v>
      </c>
      <c r="K54" s="386">
        <f>SUM(J53:K53)</f>
        <v>-394611.29824999924</v>
      </c>
      <c r="L54" s="214">
        <f>ROUND(L52-L53,3)</f>
        <v>0</v>
      </c>
    </row>
    <row r="55" spans="1:21" ht="16.5" thickTop="1" thickBot="1">
      <c r="A55" s="82" t="s">
        <v>119</v>
      </c>
      <c r="B55" s="84"/>
      <c r="C55" s="160">
        <f>SUM(C43:C54)</f>
        <v>192468.98000000231</v>
      </c>
      <c r="D55" s="36"/>
      <c r="F55" s="399" t="s">
        <v>182</v>
      </c>
      <c r="H55" s="96"/>
    </row>
    <row r="56" spans="1:21" ht="16.5" thickTop="1" thickBot="1">
      <c r="A56" s="386" t="s">
        <v>121</v>
      </c>
      <c r="B56" s="6" t="s">
        <v>115</v>
      </c>
      <c r="C56" s="122">
        <v>-15571.41</v>
      </c>
      <c r="D56" s="36"/>
      <c r="F56" s="399" t="s">
        <v>183</v>
      </c>
      <c r="H56" s="157"/>
      <c r="I56" s="120"/>
      <c r="J56" s="120"/>
      <c r="K56" s="205"/>
      <c r="L56" s="120"/>
      <c r="T56" s="42"/>
    </row>
    <row r="57" spans="1:21">
      <c r="A57" s="386" t="s">
        <v>122</v>
      </c>
      <c r="B57" s="6" t="s">
        <v>115</v>
      </c>
      <c r="C57" s="122">
        <v>-10422.35</v>
      </c>
      <c r="D57" s="36"/>
      <c r="F57" s="551" t="s">
        <v>323</v>
      </c>
      <c r="G57" s="552" t="str">
        <f>IF(OR(AND(I54&gt;0,K54&gt;0),AND(I54&lt;0,K54&lt;0)),"OK","ERROR")</f>
        <v>OK</v>
      </c>
      <c r="H57" s="388" t="s">
        <v>314</v>
      </c>
      <c r="I57" s="389"/>
    </row>
    <row r="58" spans="1:21" ht="16" thickBot="1">
      <c r="A58" s="2" t="s">
        <v>125</v>
      </c>
      <c r="B58" s="2"/>
      <c r="C58" s="160">
        <f>SUM(C55:C57)</f>
        <v>166475.2200000023</v>
      </c>
      <c r="D58" s="36"/>
      <c r="H58" s="320" t="s">
        <v>176</v>
      </c>
      <c r="I58" s="321" t="s">
        <v>177</v>
      </c>
      <c r="J58" s="5"/>
    </row>
    <row r="59" spans="1:21" ht="16.5" thickTop="1" thickBot="1">
      <c r="A59" s="2"/>
      <c r="C59" s="101"/>
      <c r="D59" s="36"/>
      <c r="H59" s="351">
        <f>SUM('WA - Def-Amtz'!AL5:AL10,'WA - Def-Amtz'!AL41:AL46,'WA - Def-Amtz'!AL76:AL79,'ID - Def-Amtz '!AL5:AL10,'ID - Def-Amtz '!AL42:AL47,'ID - Def-Amtz '!AL75:AL80)</f>
        <v>7890436.3542569289</v>
      </c>
      <c r="I59" s="451">
        <f>SUM('WA - Def-Amtz'!AM5:AM10,'WA - Def-Amtz'!AM41:AM46,'WA - Def-Amtz'!AM76:AM79,'ID - Def-Amtz '!AM5:AM10,'ID - Def-Amtz '!AM42:AM47,'ID - Def-Amtz '!AM75:AM80)</f>
        <v>7890436.3542569289</v>
      </c>
      <c r="J59" s="386">
        <f>H51+I51+J51+K51</f>
        <v>-2933357.0878900001</v>
      </c>
    </row>
    <row r="60" spans="1:21" ht="16" thickBot="1">
      <c r="A60" s="9"/>
      <c r="B60" s="9" t="s">
        <v>95</v>
      </c>
      <c r="C60" s="125">
        <f>C58+C34</f>
        <v>2457430.5400000019</v>
      </c>
      <c r="D60" s="36"/>
      <c r="G60" s="5"/>
      <c r="I60" s="340">
        <f>H59-I59</f>
        <v>0</v>
      </c>
    </row>
    <row r="61" spans="1:21">
      <c r="A61" s="2"/>
      <c r="B61" s="9" t="s">
        <v>160</v>
      </c>
      <c r="C61" s="352">
        <v>2457430.54</v>
      </c>
      <c r="D61" s="37"/>
    </row>
    <row r="62" spans="1:21">
      <c r="A62" s="9"/>
      <c r="B62" s="9" t="s">
        <v>159</v>
      </c>
      <c r="C62" s="259">
        <f>ROUND(C60-C61,2)</f>
        <v>0</v>
      </c>
      <c r="N62" s="5"/>
      <c r="O62" s="5"/>
      <c r="P62" s="21"/>
    </row>
    <row r="63" spans="1:21">
      <c r="A63" s="44"/>
      <c r="C63" s="353"/>
      <c r="D63" s="36"/>
      <c r="S63" s="6"/>
    </row>
    <row r="64" spans="1:21">
      <c r="A64" s="44"/>
      <c r="C64" s="8"/>
      <c r="D64" s="43"/>
      <c r="N64" s="22"/>
      <c r="U64" s="2"/>
    </row>
    <row r="65" spans="1:21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4 I60">
    <cfRule type="cellIs" dxfId="716" priority="7" stopIfTrue="1" operator="equal">
      <formula>0</formula>
    </cfRule>
    <cfRule type="cellIs" dxfId="715" priority="8" stopIfTrue="1" operator="notEqual">
      <formula>0</formula>
    </cfRule>
  </conditionalFormatting>
  <conditionalFormatting sqref="G33 G45 K30 K45">
    <cfRule type="cellIs" dxfId="714" priority="6" operator="notEqual">
      <formula>0</formula>
    </cfRule>
  </conditionalFormatting>
  <conditionalFormatting sqref="C62">
    <cfRule type="cellIs" dxfId="713" priority="4" stopIfTrue="1" operator="equal">
      <formula>0</formula>
    </cfRule>
    <cfRule type="cellIs" dxfId="712" priority="5" stopIfTrue="1" operator="notEqual">
      <formula>0</formula>
    </cfRule>
  </conditionalFormatting>
  <conditionalFormatting sqref="K30">
    <cfRule type="cellIs" dxfId="711" priority="3" operator="notEqual">
      <formula>0</formula>
    </cfRule>
  </conditionalFormatting>
  <conditionalFormatting sqref="G57">
    <cfRule type="cellIs" dxfId="710" priority="2" operator="equal">
      <formula>"ERROR"</formula>
    </cfRule>
  </conditionalFormatting>
  <conditionalFormatting sqref="G57">
    <cfRule type="cellIs" dxfId="709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4">
    <tabColor rgb="FF00CC66"/>
    <pageSetUpPr fitToPage="1"/>
  </sheetPr>
  <dimension ref="A1:U1484"/>
  <sheetViews>
    <sheetView showGridLines="0" zoomScale="85" zoomScaleNormal="85" workbookViewId="0">
      <selection activeCell="H59" sqref="H59"/>
    </sheetView>
  </sheetViews>
  <sheetFormatPr defaultColWidth="16" defaultRowHeight="15.5"/>
  <cols>
    <col min="1" max="1" width="44.8984375" style="386" customWidth="1"/>
    <col min="2" max="2" width="25.59765625" style="386" customWidth="1"/>
    <col min="3" max="3" width="25.296875" style="386" customWidth="1"/>
    <col min="4" max="4" width="2.69921875" style="30" customWidth="1"/>
    <col min="5" max="5" width="4.296875" style="386" customWidth="1"/>
    <col min="6" max="6" width="26.69921875" style="386" customWidth="1"/>
    <col min="7" max="7" width="19" style="386" customWidth="1"/>
    <col min="8" max="8" width="22" style="386" customWidth="1"/>
    <col min="9" max="9" width="20.3984375" style="386" customWidth="1"/>
    <col min="10" max="10" width="26.296875" style="386" customWidth="1"/>
    <col min="11" max="11" width="21.8984375" style="386" bestFit="1" customWidth="1"/>
    <col min="12" max="12" width="23.8984375" style="386" customWidth="1"/>
    <col min="13" max="13" width="20.8984375" style="386" bestFit="1" customWidth="1"/>
    <col min="14" max="15" width="16" style="386"/>
    <col min="16" max="16" width="16.296875" style="386" bestFit="1" customWidth="1"/>
    <col min="17" max="16384" width="16" style="386"/>
  </cols>
  <sheetData>
    <row r="1" spans="1:13" ht="16" thickBot="1">
      <c r="A1" s="145" t="s">
        <v>64</v>
      </c>
      <c r="B1" s="29"/>
      <c r="C1" s="534">
        <f>Aug!C1+1</f>
        <v>201509</v>
      </c>
      <c r="F1" s="534">
        <f>C1</f>
        <v>201509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>
      <c r="A4" s="387" t="s">
        <v>88</v>
      </c>
      <c r="C4" s="314">
        <f>1634.06+4449796.09</f>
        <v>4451430.1499999994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56829.120000000003</v>
      </c>
      <c r="D5" s="34"/>
      <c r="F5" s="387"/>
      <c r="G5" s="387"/>
      <c r="H5" s="11"/>
      <c r="I5" s="166">
        <v>0.70840000000000003</v>
      </c>
      <c r="J5" s="166">
        <f>1-I5</f>
        <v>0.29159999999999997</v>
      </c>
      <c r="K5" s="447">
        <f>ROUND(G43/(G43+K43),4)</f>
        <v>0.67559999999999998</v>
      </c>
      <c r="L5" s="447">
        <f>1-K5</f>
        <v>0.32440000000000002</v>
      </c>
      <c r="M5" s="387"/>
    </row>
    <row r="6" spans="1:13" ht="16" thickBot="1">
      <c r="A6" s="49" t="s">
        <v>30</v>
      </c>
      <c r="C6" s="315">
        <f>-2267480.4-430500-71463-123000-138375-79335-99088.8</f>
        <v>-3209242.1999999997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" thickBot="1">
      <c r="A7" s="66" t="s">
        <v>140</v>
      </c>
      <c r="C7" s="100">
        <f>SUM(C4:C6)</f>
        <v>1299017.0699999998</v>
      </c>
      <c r="D7" s="35"/>
      <c r="F7" s="167" t="s">
        <v>139</v>
      </c>
      <c r="G7" s="167"/>
      <c r="H7" s="125">
        <f>C34</f>
        <v>2176541.8499999996</v>
      </c>
      <c r="I7" s="168">
        <f>H7*I5</f>
        <v>1541862.2465399997</v>
      </c>
      <c r="J7" s="168">
        <f>H7*J5</f>
        <v>634679.60345999978</v>
      </c>
      <c r="K7" s="168"/>
      <c r="L7" s="168"/>
      <c r="M7" s="387"/>
    </row>
    <row r="8" spans="1:13">
      <c r="A8" s="386" t="s">
        <v>89</v>
      </c>
      <c r="C8" s="314">
        <v>206546.12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>
      <c r="A9" s="387" t="s">
        <v>90</v>
      </c>
      <c r="C9" s="314">
        <v>6199.49</v>
      </c>
      <c r="D9" s="36"/>
      <c r="F9" s="167" t="s">
        <v>119</v>
      </c>
      <c r="G9" s="387"/>
      <c r="H9" s="168">
        <f>C55</f>
        <v>126653.77999999747</v>
      </c>
      <c r="I9" s="168"/>
      <c r="J9" s="168"/>
      <c r="K9" s="168">
        <f>H9*K5</f>
        <v>85567.293767998286</v>
      </c>
      <c r="L9" s="168">
        <f>H9*L5</f>
        <v>41086.486231999181</v>
      </c>
      <c r="M9" s="387"/>
    </row>
    <row r="10" spans="1:13">
      <c r="A10" s="49" t="s">
        <v>91</v>
      </c>
      <c r="C10" s="315">
        <v>-3278.43</v>
      </c>
      <c r="D10" s="36"/>
      <c r="F10" s="170" t="s">
        <v>44</v>
      </c>
      <c r="G10" s="387"/>
      <c r="H10" s="168">
        <f>C56</f>
        <v>-41589.449999999997</v>
      </c>
      <c r="I10" s="168"/>
      <c r="J10" s="168"/>
      <c r="K10" s="168">
        <f>H10</f>
        <v>-41589.449999999997</v>
      </c>
      <c r="L10" s="168"/>
      <c r="M10" s="387"/>
    </row>
    <row r="11" spans="1:13">
      <c r="A11" s="66" t="s">
        <v>145</v>
      </c>
      <c r="C11" s="100">
        <f>SUM(C8:C10)</f>
        <v>209467.18</v>
      </c>
      <c r="D11" s="36"/>
      <c r="F11" s="170" t="s">
        <v>45</v>
      </c>
      <c r="G11" s="387"/>
      <c r="H11" s="171">
        <f>C57</f>
        <v>-18735.29</v>
      </c>
      <c r="I11" s="168"/>
      <c r="J11" s="168"/>
      <c r="K11" s="171"/>
      <c r="L11" s="171">
        <f>H11</f>
        <v>-18735.29</v>
      </c>
      <c r="M11" s="387"/>
    </row>
    <row r="12" spans="1:13">
      <c r="A12" s="386" t="s">
        <v>165</v>
      </c>
      <c r="C12" s="314">
        <f>234449.08-1916.1</f>
        <v>232532.97999999998</v>
      </c>
      <c r="D12" s="36"/>
      <c r="F12" s="170" t="s">
        <v>138</v>
      </c>
      <c r="G12" s="387"/>
      <c r="H12" s="168">
        <f>H9+H10+H11</f>
        <v>66329.039999997476</v>
      </c>
      <c r="I12" s="168"/>
      <c r="J12" s="168"/>
      <c r="K12" s="168">
        <f>SUM(K9:K11)</f>
        <v>43977.843767998289</v>
      </c>
      <c r="L12" s="168">
        <f>SUM(L9:L11)</f>
        <v>22351.19623199918</v>
      </c>
      <c r="M12" s="387"/>
    </row>
    <row r="13" spans="1:13" ht="16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" thickBot="1">
      <c r="A14" s="66" t="s">
        <v>92</v>
      </c>
      <c r="C14" s="100">
        <f>SUM(C12:C13)</f>
        <v>232532.97999999998</v>
      </c>
      <c r="D14" s="37"/>
      <c r="F14" s="50" t="s">
        <v>69</v>
      </c>
      <c r="G14" s="176"/>
      <c r="H14" s="125">
        <f>H12+H7</f>
        <v>2242870.8899999969</v>
      </c>
      <c r="I14" s="177">
        <f>SUM(I7:I13)</f>
        <v>1541862.2465399997</v>
      </c>
      <c r="J14" s="177">
        <f>SUM(J7:J13)</f>
        <v>634679.60345999978</v>
      </c>
      <c r="K14" s="177">
        <f>K12</f>
        <v>43977.843767998289</v>
      </c>
      <c r="L14" s="177">
        <f>L12</f>
        <v>22351.19623199918</v>
      </c>
      <c r="M14" s="387"/>
    </row>
    <row r="15" spans="1:13">
      <c r="A15" s="386" t="s">
        <v>184</v>
      </c>
      <c r="C15" s="314">
        <f>441833.39-3611.03</f>
        <v>438222.36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6" thickBot="1">
      <c r="A17" s="66" t="s">
        <v>186</v>
      </c>
      <c r="C17" s="100">
        <f>SUM(C15:C16)</f>
        <v>438222.36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" thickBot="1">
      <c r="A18" s="386" t="s">
        <v>163</v>
      </c>
      <c r="C18" s="314">
        <f>6055.56+198.2+62354.73</f>
        <v>68608.490000000005</v>
      </c>
      <c r="D18" s="36"/>
      <c r="F18" s="704" t="s">
        <v>134</v>
      </c>
      <c r="G18" s="705"/>
      <c r="H18" s="705"/>
      <c r="I18" s="706"/>
      <c r="J18" s="704" t="s">
        <v>135</v>
      </c>
      <c r="K18" s="705"/>
      <c r="L18" s="705"/>
      <c r="M18" s="706"/>
    </row>
    <row r="19" spans="1:13">
      <c r="A19" s="46" t="s">
        <v>164</v>
      </c>
      <c r="C19" s="315">
        <v>7293.97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" thickBot="1">
      <c r="A20" s="67" t="s">
        <v>93</v>
      </c>
      <c r="C20" s="100">
        <f>SUM(C18:C19)</f>
        <v>75902.460000000006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>
      <c r="A23" s="209" t="s">
        <v>181</v>
      </c>
      <c r="C23" s="100">
        <v>0</v>
      </c>
      <c r="D23" s="36"/>
      <c r="F23" s="201" t="s">
        <v>37</v>
      </c>
      <c r="G23" s="264">
        <v>3273457</v>
      </c>
      <c r="H23" s="391">
        <v>0.1183</v>
      </c>
      <c r="I23" s="197">
        <f t="shared" ref="I23:I30" si="0">G23*H23</f>
        <v>387249.96309999999</v>
      </c>
      <c r="J23" s="201" t="s">
        <v>37</v>
      </c>
      <c r="K23" s="264">
        <v>1531464</v>
      </c>
      <c r="L23" s="391">
        <v>0.10721</v>
      </c>
      <c r="M23" s="197">
        <f>K23*L23</f>
        <v>164188.25544000001</v>
      </c>
    </row>
    <row r="24" spans="1:13">
      <c r="A24" s="209" t="s">
        <v>187</v>
      </c>
      <c r="C24" s="314">
        <v>0</v>
      </c>
      <c r="D24" s="36"/>
      <c r="F24" s="201" t="s">
        <v>38</v>
      </c>
      <c r="G24" s="264">
        <v>1854848</v>
      </c>
      <c r="H24" s="391">
        <v>0.11607000000000001</v>
      </c>
      <c r="I24" s="197">
        <f t="shared" si="0"/>
        <v>215292.20736</v>
      </c>
      <c r="J24" s="201" t="s">
        <v>38</v>
      </c>
      <c r="K24" s="264">
        <v>1101192</v>
      </c>
      <c r="L24" s="391">
        <v>0.10721</v>
      </c>
      <c r="M24" s="197">
        <f t="shared" ref="M24:M27" si="1">K24*L24</f>
        <v>118058.79432</v>
      </c>
    </row>
    <row r="25" spans="1:13">
      <c r="A25" s="209" t="s">
        <v>190</v>
      </c>
      <c r="C25" s="316">
        <v>0</v>
      </c>
      <c r="D25" s="36"/>
      <c r="F25" s="201" t="s">
        <v>39</v>
      </c>
      <c r="G25" s="264">
        <v>0</v>
      </c>
      <c r="H25" s="391">
        <v>0.11607000000000001</v>
      </c>
      <c r="I25" s="197">
        <f t="shared" si="0"/>
        <v>0</v>
      </c>
      <c r="J25" s="201" t="s">
        <v>39</v>
      </c>
      <c r="K25" s="264">
        <v>26734</v>
      </c>
      <c r="L25" s="391">
        <v>0.10721</v>
      </c>
      <c r="M25" s="197">
        <f t="shared" si="1"/>
        <v>2866.1521400000001</v>
      </c>
    </row>
    <row r="26" spans="1:13">
      <c r="A26" s="210" t="s">
        <v>189</v>
      </c>
      <c r="C26" s="317">
        <v>0</v>
      </c>
      <c r="D26" s="36"/>
      <c r="F26" s="201" t="s">
        <v>40</v>
      </c>
      <c r="G26" s="264">
        <v>336073</v>
      </c>
      <c r="H26" s="391">
        <v>9.783E-2</v>
      </c>
      <c r="I26" s="197">
        <f t="shared" si="0"/>
        <v>32878.021589999997</v>
      </c>
      <c r="J26" s="201" t="s">
        <v>40</v>
      </c>
      <c r="K26" s="264">
        <v>0</v>
      </c>
      <c r="L26" s="391">
        <v>0.10721</v>
      </c>
      <c r="M26" s="197">
        <f t="shared" si="1"/>
        <v>0</v>
      </c>
    </row>
    <row r="27" spans="1:13">
      <c r="A27" s="65" t="s">
        <v>96</v>
      </c>
      <c r="C27" s="100">
        <f>SUM(C23:C26)</f>
        <v>0</v>
      </c>
      <c r="D27" s="36"/>
      <c r="F27" s="201" t="s">
        <v>41</v>
      </c>
      <c r="G27" s="264">
        <v>29790</v>
      </c>
      <c r="H27" s="391">
        <v>9.783E-2</v>
      </c>
      <c r="I27" s="197">
        <f t="shared" si="0"/>
        <v>2914.3557000000001</v>
      </c>
      <c r="J27" s="201" t="s">
        <v>41</v>
      </c>
      <c r="K27" s="264">
        <v>0</v>
      </c>
      <c r="L27" s="391">
        <v>0.10721</v>
      </c>
      <c r="M27" s="197">
        <f t="shared" si="1"/>
        <v>0</v>
      </c>
    </row>
    <row r="28" spans="1:13" ht="16" thickBot="1">
      <c r="A28" s="211" t="s">
        <v>150</v>
      </c>
      <c r="C28" s="314">
        <v>0</v>
      </c>
      <c r="D28" s="37"/>
      <c r="F28" s="201" t="s">
        <v>42</v>
      </c>
      <c r="G28" s="264">
        <v>0</v>
      </c>
      <c r="H28" s="391">
        <v>6.9959999999999994E-2</v>
      </c>
      <c r="I28" s="197">
        <f t="shared" si="0"/>
        <v>0</v>
      </c>
      <c r="J28" s="200" t="s">
        <v>127</v>
      </c>
      <c r="K28" s="182">
        <f>SUM(K23:K27)</f>
        <v>2659390</v>
      </c>
      <c r="L28" s="183"/>
      <c r="M28" s="198">
        <f>SUM(M23:M27)</f>
        <v>285113.20190000004</v>
      </c>
    </row>
    <row r="29" spans="1:13" ht="16.5" thickTop="1" thickBot="1">
      <c r="A29" s="211" t="s">
        <v>167</v>
      </c>
      <c r="B29" s="387"/>
      <c r="C29" s="314">
        <v>0</v>
      </c>
      <c r="D29" s="36"/>
      <c r="F29" s="201" t="s">
        <v>43</v>
      </c>
      <c r="G29" s="264">
        <v>45470</v>
      </c>
      <c r="H29" s="391">
        <v>6.9959999999999994E-2</v>
      </c>
      <c r="I29" s="197">
        <f t="shared" si="0"/>
        <v>3181.0811999999996</v>
      </c>
      <c r="J29" s="200"/>
      <c r="K29" s="232">
        <v>2659390</v>
      </c>
      <c r="L29" s="188" t="s">
        <v>102</v>
      </c>
      <c r="M29" s="467">
        <f>M28/K28</f>
        <v>0.10721000000000001</v>
      </c>
    </row>
    <row r="30" spans="1:13" ht="16" thickBot="1">
      <c r="A30" s="2" t="s">
        <v>111</v>
      </c>
      <c r="C30" s="125">
        <f>C7+C11+C14+C17+C20+C22+C27+C28+C29</f>
        <v>2255142.0499999998</v>
      </c>
      <c r="D30" s="37"/>
      <c r="F30" s="201" t="s">
        <v>74</v>
      </c>
      <c r="G30" s="264">
        <v>1945064</v>
      </c>
      <c r="H30" s="391">
        <v>5.4000000000000001E-4</v>
      </c>
      <c r="I30" s="197">
        <f t="shared" si="0"/>
        <v>1050.33456</v>
      </c>
      <c r="J30" s="201"/>
      <c r="K30" s="231">
        <f>K28-K29</f>
        <v>0</v>
      </c>
      <c r="L30" s="183"/>
      <c r="M30" s="199"/>
    </row>
    <row r="31" spans="1:13" ht="16" thickBot="1">
      <c r="A31" s="386" t="s">
        <v>112</v>
      </c>
      <c r="C31" s="314">
        <v>-8277.6200000000008</v>
      </c>
      <c r="D31" s="39"/>
      <c r="F31" s="200" t="s">
        <v>127</v>
      </c>
      <c r="G31" s="182">
        <f>SUM(G23:G30)</f>
        <v>7484702</v>
      </c>
      <c r="H31" s="7"/>
      <c r="I31" s="198">
        <f>SUM(I23:I30)</f>
        <v>642565.96350999991</v>
      </c>
      <c r="J31" s="153"/>
      <c r="K31" s="7"/>
      <c r="L31" s="183"/>
      <c r="M31" s="199"/>
    </row>
    <row r="32" spans="1:13" ht="16" thickTop="1">
      <c r="A32" s="2" t="s">
        <v>116</v>
      </c>
      <c r="B32" s="2" t="s">
        <v>117</v>
      </c>
      <c r="C32" s="240">
        <f>C30+C31</f>
        <v>2246864.4299999997</v>
      </c>
      <c r="D32" s="40"/>
      <c r="F32" s="187"/>
      <c r="G32" s="232">
        <v>7484702</v>
      </c>
      <c r="H32" s="188" t="s">
        <v>102</v>
      </c>
      <c r="I32" s="217">
        <f>I31/G31</f>
        <v>8.5850574078967998E-2</v>
      </c>
      <c r="J32" s="193"/>
      <c r="K32" s="194"/>
      <c r="L32" s="7"/>
      <c r="M32" s="191"/>
    </row>
    <row r="33" spans="1:17" ht="16" thickBot="1">
      <c r="A33" s="386" t="s">
        <v>113</v>
      </c>
      <c r="C33" s="313">
        <f>-C5-C9-C13-C16-C19</f>
        <v>-70322.58</v>
      </c>
      <c r="D33" s="36"/>
      <c r="F33" s="153"/>
      <c r="G33" s="231">
        <f>G31-G32</f>
        <v>0</v>
      </c>
      <c r="H33" s="7"/>
      <c r="I33" s="98"/>
      <c r="J33" s="193"/>
      <c r="K33" s="194"/>
      <c r="L33" s="7"/>
      <c r="M33" s="98"/>
    </row>
    <row r="34" spans="1:17" ht="16" thickBot="1">
      <c r="A34" s="2" t="s">
        <v>114</v>
      </c>
      <c r="C34" s="125">
        <f>SUM(C32:C33)</f>
        <v>2176541.8499999996</v>
      </c>
      <c r="D34" s="36"/>
      <c r="F34" s="185"/>
      <c r="G34" s="12"/>
      <c r="H34" s="12"/>
      <c r="I34" s="186"/>
      <c r="J34" s="193"/>
      <c r="K34" s="192"/>
      <c r="L34" s="7"/>
      <c r="M34" s="98"/>
    </row>
    <row r="35" spans="1:17" ht="18" customHeight="1">
      <c r="A35" s="2"/>
      <c r="C35" s="101"/>
      <c r="D35" s="36"/>
      <c r="F35" s="200" t="s">
        <v>128</v>
      </c>
      <c r="G35" s="7"/>
      <c r="H35" s="7"/>
      <c r="I35" s="98"/>
      <c r="J35" s="200" t="s">
        <v>128</v>
      </c>
      <c r="K35" s="702"/>
      <c r="L35" s="702"/>
      <c r="M35" s="703"/>
    </row>
    <row r="36" spans="1:17">
      <c r="A36" s="16" t="s">
        <v>94</v>
      </c>
      <c r="B36" s="2"/>
      <c r="C36" s="100"/>
      <c r="D36" s="36"/>
      <c r="F36" s="201" t="s">
        <v>37</v>
      </c>
      <c r="G36" s="265">
        <f>G23</f>
        <v>3273457</v>
      </c>
      <c r="H36" s="391">
        <v>0.38496999999999998</v>
      </c>
      <c r="I36" s="197">
        <f t="shared" ref="I36:I42" si="2">G36*H36</f>
        <v>1260182.74129</v>
      </c>
      <c r="J36" s="201" t="s">
        <v>37</v>
      </c>
      <c r="K36" s="265">
        <f>K23</f>
        <v>1531464</v>
      </c>
      <c r="L36" s="391">
        <v>0.38272</v>
      </c>
      <c r="M36" s="197">
        <f t="shared" ref="M36:M42" si="3">K36*L36</f>
        <v>586121.90208000003</v>
      </c>
      <c r="P36" s="275"/>
      <c r="Q36" s="275"/>
    </row>
    <row r="37" spans="1:17">
      <c r="A37" s="7" t="s">
        <v>129</v>
      </c>
      <c r="B37" s="540" t="s">
        <v>115</v>
      </c>
      <c r="C37" s="122">
        <v>15151123.779999999</v>
      </c>
      <c r="D37" s="36"/>
      <c r="F37" s="201" t="s">
        <v>38</v>
      </c>
      <c r="G37" s="265">
        <f t="shared" ref="G37:G42" si="4">G24</f>
        <v>1854848</v>
      </c>
      <c r="H37" s="391">
        <v>0.38496999999999998</v>
      </c>
      <c r="I37" s="197">
        <f t="shared" si="2"/>
        <v>714060.83455999999</v>
      </c>
      <c r="J37" s="201" t="s">
        <v>38</v>
      </c>
      <c r="K37" s="265">
        <f>K24</f>
        <v>1101192</v>
      </c>
      <c r="L37" s="391">
        <v>0.38272</v>
      </c>
      <c r="M37" s="197">
        <f t="shared" si="3"/>
        <v>421448.20224000001</v>
      </c>
      <c r="P37" s="275"/>
      <c r="Q37" s="275"/>
    </row>
    <row r="38" spans="1:17">
      <c r="A38" s="144" t="s">
        <v>14</v>
      </c>
      <c r="B38" s="540" t="s">
        <v>115</v>
      </c>
      <c r="C38" s="690">
        <v>-8649.6</v>
      </c>
      <c r="D38" s="36"/>
      <c r="F38" s="201" t="s">
        <v>39</v>
      </c>
      <c r="G38" s="265">
        <f t="shared" si="4"/>
        <v>0</v>
      </c>
      <c r="H38" s="391">
        <v>0.38496999999999998</v>
      </c>
      <c r="I38" s="197">
        <f t="shared" si="2"/>
        <v>0</v>
      </c>
      <c r="J38" s="201" t="s">
        <v>39</v>
      </c>
      <c r="K38" s="265">
        <f>K25</f>
        <v>26734</v>
      </c>
      <c r="L38" s="391">
        <v>0.38272</v>
      </c>
      <c r="M38" s="197">
        <f t="shared" si="3"/>
        <v>10231.636480000001</v>
      </c>
      <c r="P38" s="275"/>
      <c r="Q38" s="275"/>
    </row>
    <row r="39" spans="1:17">
      <c r="A39" s="7" t="s">
        <v>146</v>
      </c>
      <c r="B39" s="540" t="s">
        <v>147</v>
      </c>
      <c r="C39" s="122">
        <v>-12929.22</v>
      </c>
      <c r="D39" s="36"/>
      <c r="F39" s="201" t="s">
        <v>40</v>
      </c>
      <c r="G39" s="265">
        <f t="shared" si="4"/>
        <v>336073</v>
      </c>
      <c r="H39" s="391">
        <v>0.38496999999999998</v>
      </c>
      <c r="I39" s="197">
        <f t="shared" si="2"/>
        <v>129378.02280999999</v>
      </c>
      <c r="J39" s="201" t="s">
        <v>40</v>
      </c>
      <c r="K39" s="265">
        <f>K26</f>
        <v>0</v>
      </c>
      <c r="L39" s="391">
        <v>0.38272</v>
      </c>
      <c r="M39" s="197">
        <f t="shared" si="3"/>
        <v>0</v>
      </c>
      <c r="P39" s="275"/>
      <c r="Q39" s="275"/>
    </row>
    <row r="40" spans="1:17">
      <c r="A40" s="7" t="s">
        <v>131</v>
      </c>
      <c r="B40" s="540" t="s">
        <v>132</v>
      </c>
      <c r="C40" s="122">
        <v>-658912.5</v>
      </c>
      <c r="D40" s="36"/>
      <c r="F40" s="201" t="s">
        <v>41</v>
      </c>
      <c r="G40" s="265">
        <f t="shared" si="4"/>
        <v>29790</v>
      </c>
      <c r="H40" s="391">
        <v>0.38496999999999998</v>
      </c>
      <c r="I40" s="197">
        <f t="shared" si="2"/>
        <v>11468.256299999999</v>
      </c>
      <c r="J40" s="201" t="s">
        <v>41</v>
      </c>
      <c r="K40" s="265">
        <f>K27</f>
        <v>0</v>
      </c>
      <c r="L40" s="391">
        <v>0.38272</v>
      </c>
      <c r="M40" s="197">
        <f t="shared" si="3"/>
        <v>0</v>
      </c>
      <c r="P40" s="275"/>
      <c r="Q40" s="275"/>
    </row>
    <row r="41" spans="1:17">
      <c r="A41" s="7" t="s">
        <v>153</v>
      </c>
      <c r="B41" s="6" t="s">
        <v>155</v>
      </c>
      <c r="C41" s="122">
        <v>23621.03</v>
      </c>
      <c r="D41" s="36"/>
      <c r="F41" s="201" t="s">
        <v>42</v>
      </c>
      <c r="G41" s="265">
        <f t="shared" si="4"/>
        <v>0</v>
      </c>
      <c r="H41" s="391">
        <v>0.38496999999999998</v>
      </c>
      <c r="I41" s="197">
        <f t="shared" si="2"/>
        <v>0</v>
      </c>
      <c r="J41" s="201" t="s">
        <v>42</v>
      </c>
      <c r="K41" s="264">
        <v>0</v>
      </c>
      <c r="L41" s="391">
        <v>0.38272</v>
      </c>
      <c r="M41" s="197">
        <f t="shared" si="3"/>
        <v>0</v>
      </c>
      <c r="P41" s="275"/>
      <c r="Q41" s="275"/>
    </row>
    <row r="42" spans="1:17" ht="16" thickBot="1">
      <c r="A42" s="7" t="s">
        <v>179</v>
      </c>
      <c r="B42" s="540" t="s">
        <v>180</v>
      </c>
      <c r="C42" s="122">
        <v>564405.82999999996</v>
      </c>
      <c r="D42" s="37"/>
      <c r="F42" s="201" t="s">
        <v>43</v>
      </c>
      <c r="G42" s="265">
        <f t="shared" si="4"/>
        <v>45470</v>
      </c>
      <c r="H42" s="391">
        <v>0.38496999999999998</v>
      </c>
      <c r="I42" s="197">
        <f t="shared" si="2"/>
        <v>17504.585899999998</v>
      </c>
      <c r="J42" s="201" t="s">
        <v>43</v>
      </c>
      <c r="K42" s="266">
        <v>0</v>
      </c>
      <c r="L42" s="391">
        <v>0.38272</v>
      </c>
      <c r="M42" s="197">
        <f t="shared" si="3"/>
        <v>0</v>
      </c>
      <c r="P42" s="275"/>
      <c r="Q42" s="275"/>
    </row>
    <row r="43" spans="1:17" ht="16" thickBot="1">
      <c r="A43" s="85" t="s">
        <v>123</v>
      </c>
      <c r="B43" s="12"/>
      <c r="C43" s="125">
        <f>SUM(C37:C42)</f>
        <v>15058659.319999998</v>
      </c>
      <c r="D43" s="36"/>
      <c r="F43" s="200" t="s">
        <v>133</v>
      </c>
      <c r="G43" s="182">
        <f>SUM(G36:G42)</f>
        <v>5539638</v>
      </c>
      <c r="H43" s="183"/>
      <c r="I43" s="198">
        <f>SUM(I36:I42)</f>
        <v>2132594.44086</v>
      </c>
      <c r="J43" s="200" t="s">
        <v>133</v>
      </c>
      <c r="K43" s="182">
        <f>SUM(K36:K42)</f>
        <v>2659390</v>
      </c>
      <c r="L43" s="183"/>
      <c r="M43" s="198">
        <f>SUM(M36:M42)</f>
        <v>1017801.7408</v>
      </c>
    </row>
    <row r="44" spans="1:17" ht="16" thickBot="1">
      <c r="A44" s="83" t="s">
        <v>178</v>
      </c>
      <c r="B44" s="84" t="s">
        <v>120</v>
      </c>
      <c r="C44" s="242">
        <f>393240.98-3284312.08</f>
        <v>-2891071.1</v>
      </c>
      <c r="D44" s="37"/>
      <c r="F44" s="189"/>
      <c r="G44" s="233">
        <v>5539638</v>
      </c>
      <c r="H44" s="190" t="s">
        <v>102</v>
      </c>
      <c r="I44" s="216">
        <f>I43/G43</f>
        <v>0.38496999999999998</v>
      </c>
      <c r="J44" s="195"/>
      <c r="K44" s="233">
        <v>2659390</v>
      </c>
      <c r="L44" s="190" t="s">
        <v>102</v>
      </c>
      <c r="M44" s="218">
        <f>M43/K43</f>
        <v>0.38272</v>
      </c>
    </row>
    <row r="45" spans="1:17">
      <c r="A45" s="212" t="s">
        <v>168</v>
      </c>
      <c r="B45" s="6" t="s">
        <v>115</v>
      </c>
      <c r="C45" s="122">
        <v>0</v>
      </c>
      <c r="D45" s="39"/>
      <c r="F45" s="387"/>
      <c r="G45" s="231">
        <f>G43-G44</f>
        <v>0</v>
      </c>
      <c r="H45" s="387"/>
      <c r="I45" s="387"/>
      <c r="J45" s="124"/>
      <c r="K45" s="231">
        <f>K43-K44</f>
        <v>0</v>
      </c>
      <c r="L45" s="387"/>
      <c r="M45" s="124"/>
    </row>
    <row r="46" spans="1:17" ht="19.5" customHeight="1" thickBot="1">
      <c r="A46" s="144" t="s">
        <v>169</v>
      </c>
      <c r="B46" s="6" t="s">
        <v>115</v>
      </c>
      <c r="C46" s="122">
        <v>0</v>
      </c>
      <c r="D46" s="40"/>
      <c r="F46" s="387"/>
      <c r="G46" s="387"/>
      <c r="H46" s="387"/>
      <c r="I46" s="387"/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>
        <v>101489.21</v>
      </c>
      <c r="D47" s="36"/>
      <c r="F47" s="387"/>
      <c r="G47" s="114"/>
      <c r="H47" s="129" t="s">
        <v>35</v>
      </c>
      <c r="I47" s="13" t="s">
        <v>35</v>
      </c>
      <c r="J47" s="13" t="s">
        <v>63</v>
      </c>
      <c r="K47" s="127" t="s">
        <v>70</v>
      </c>
      <c r="L47" s="124"/>
      <c r="M47" s="387"/>
    </row>
    <row r="48" spans="1:17" ht="16" thickBot="1">
      <c r="A48" s="144" t="s">
        <v>348</v>
      </c>
      <c r="B48" s="6" t="s">
        <v>115</v>
      </c>
      <c r="C48" s="122">
        <v>5000</v>
      </c>
      <c r="D48" s="36"/>
      <c r="F48" s="50" t="s">
        <v>73</v>
      </c>
      <c r="G48" s="387"/>
      <c r="H48" s="130" t="s">
        <v>2</v>
      </c>
      <c r="I48" s="131" t="s">
        <v>3</v>
      </c>
      <c r="J48" s="131" t="s">
        <v>2</v>
      </c>
      <c r="K48" s="128" t="s">
        <v>3</v>
      </c>
      <c r="L48" s="387"/>
      <c r="M48" s="387"/>
    </row>
    <row r="49" spans="1:21">
      <c r="A49" s="7" t="s">
        <v>130</v>
      </c>
      <c r="B49" s="540" t="s">
        <v>152</v>
      </c>
      <c r="C49" s="122">
        <v>30712.11</v>
      </c>
      <c r="D49" s="36"/>
      <c r="F49" s="387"/>
      <c r="G49" s="387"/>
      <c r="H49" s="151"/>
      <c r="I49" s="152"/>
      <c r="J49" s="152"/>
      <c r="K49" s="152"/>
      <c r="L49" s="126" t="s">
        <v>103</v>
      </c>
      <c r="M49" s="387"/>
    </row>
    <row r="50" spans="1:21">
      <c r="A50" s="7" t="s">
        <v>175</v>
      </c>
      <c r="B50" s="540" t="s">
        <v>152</v>
      </c>
      <c r="C50" s="122">
        <v>1242.54</v>
      </c>
      <c r="D50" s="37"/>
      <c r="F50" s="387" t="s">
        <v>136</v>
      </c>
      <c r="G50" s="387"/>
      <c r="H50" s="213">
        <f>K12</f>
        <v>43977.843767998289</v>
      </c>
      <c r="I50" s="115">
        <f>I14</f>
        <v>1541862.2465399997</v>
      </c>
      <c r="J50" s="115">
        <f>L12</f>
        <v>22351.19623199918</v>
      </c>
      <c r="K50" s="115">
        <f>J14</f>
        <v>634679.60345999978</v>
      </c>
      <c r="L50" s="132">
        <f>SUM(H50:K50)</f>
        <v>2242870.8899999969</v>
      </c>
      <c r="M50" s="387"/>
    </row>
    <row r="51" spans="1:21" ht="16" thickBot="1">
      <c r="A51" s="7" t="s">
        <v>224</v>
      </c>
      <c r="B51" s="540" t="s">
        <v>152</v>
      </c>
      <c r="C51" s="122">
        <v>7080.54</v>
      </c>
      <c r="D51" s="36"/>
      <c r="F51" s="386" t="s">
        <v>109</v>
      </c>
      <c r="H51" s="213">
        <f>-I43</f>
        <v>-2132594.44086</v>
      </c>
      <c r="I51" s="115">
        <f>-I31</f>
        <v>-642565.96350999991</v>
      </c>
      <c r="J51" s="115">
        <f>-M43</f>
        <v>-1017801.7408</v>
      </c>
      <c r="K51" s="115">
        <f>-M28</f>
        <v>-285113.20190000004</v>
      </c>
      <c r="L51" s="263">
        <f>SUM(H51:K51)</f>
        <v>-4078075.3470699997</v>
      </c>
    </row>
    <row r="52" spans="1:21" ht="16" thickBot="1">
      <c r="A52" s="22" t="s">
        <v>118</v>
      </c>
      <c r="B52" s="6"/>
      <c r="C52" s="100">
        <f>-C33</f>
        <v>70322.58</v>
      </c>
      <c r="D52" s="33"/>
      <c r="F52" s="386" t="s">
        <v>86</v>
      </c>
      <c r="H52" s="235">
        <v>0</v>
      </c>
      <c r="I52" s="236">
        <v>0</v>
      </c>
      <c r="J52" s="236">
        <v>0</v>
      </c>
      <c r="K52" s="237">
        <v>0</v>
      </c>
      <c r="L52" s="215">
        <f>SUM(L50:L51)</f>
        <v>-1835204.4570700028</v>
      </c>
    </row>
    <row r="53" spans="1:21" ht="16" thickBot="1">
      <c r="A53" s="384" t="s">
        <v>124</v>
      </c>
      <c r="B53" s="475" t="s">
        <v>316</v>
      </c>
      <c r="C53" s="314">
        <v>-11881781.42</v>
      </c>
      <c r="D53" s="36"/>
      <c r="F53" s="386" t="s">
        <v>71</v>
      </c>
      <c r="H53" s="125">
        <f>IFERROR(H50+H51+H52,0)</f>
        <v>-2088616.5970920017</v>
      </c>
      <c r="I53" s="125">
        <f>I50+I51+I52</f>
        <v>899296.28302999982</v>
      </c>
      <c r="J53" s="125">
        <f>IFERROR(J50+J51+J52,0)</f>
        <v>-995450.54456800083</v>
      </c>
      <c r="K53" s="125">
        <f>K50+K51+K52</f>
        <v>349566.40155999974</v>
      </c>
      <c r="L53" s="47">
        <f>SUM(H53:K53)</f>
        <v>-1835204.4570700028</v>
      </c>
    </row>
    <row r="54" spans="1:21" ht="16" thickBot="1">
      <c r="A54" s="386" t="s">
        <v>191</v>
      </c>
      <c r="B54" s="6" t="s">
        <v>192</v>
      </c>
      <c r="C54" s="122">
        <v>-375000</v>
      </c>
      <c r="D54" s="36"/>
      <c r="F54" s="241" t="s">
        <v>182</v>
      </c>
      <c r="H54" s="386" t="s">
        <v>173</v>
      </c>
      <c r="I54" s="5">
        <f>SUM(H53:I53)</f>
        <v>-1189320.3140620019</v>
      </c>
      <c r="J54" s="15" t="s">
        <v>174</v>
      </c>
      <c r="K54" s="386">
        <f>SUM(J53:K53)</f>
        <v>-645884.14300800115</v>
      </c>
      <c r="L54" s="214">
        <f>ROUND(L52-L53,3)</f>
        <v>0</v>
      </c>
    </row>
    <row r="55" spans="1:21" ht="16.5" thickTop="1" thickBot="1">
      <c r="A55" s="82" t="s">
        <v>119</v>
      </c>
      <c r="B55" s="84"/>
      <c r="C55" s="160">
        <f>SUM(C43:C54)</f>
        <v>126653.77999999747</v>
      </c>
      <c r="D55" s="36"/>
      <c r="F55" s="399" t="s">
        <v>182</v>
      </c>
      <c r="H55" s="96"/>
    </row>
    <row r="56" spans="1:21" ht="16.5" thickTop="1" thickBot="1">
      <c r="A56" s="386" t="s">
        <v>121</v>
      </c>
      <c r="B56" s="6" t="s">
        <v>115</v>
      </c>
      <c r="C56" s="122">
        <v>-41589.449999999997</v>
      </c>
      <c r="D56" s="36"/>
      <c r="F56" s="399" t="s">
        <v>183</v>
      </c>
      <c r="H56" s="157"/>
      <c r="I56" s="120"/>
      <c r="J56" s="120"/>
      <c r="K56" s="205"/>
      <c r="L56" s="120"/>
      <c r="T56" s="42"/>
    </row>
    <row r="57" spans="1:21">
      <c r="A57" s="386" t="s">
        <v>122</v>
      </c>
      <c r="B57" s="6" t="s">
        <v>115</v>
      </c>
      <c r="C57" s="122">
        <v>-18735.29</v>
      </c>
      <c r="D57" s="36"/>
      <c r="F57" s="551" t="s">
        <v>323</v>
      </c>
      <c r="G57" s="552" t="str">
        <f>IF(OR(AND(I54&gt;0,K54&gt;0),AND(I54&lt;0,K54&lt;0)),"OK","ERROR")</f>
        <v>OK</v>
      </c>
      <c r="H57" s="388" t="s">
        <v>314</v>
      </c>
      <c r="I57" s="389"/>
    </row>
    <row r="58" spans="1:21" ht="16" thickBot="1">
      <c r="A58" s="2" t="s">
        <v>125</v>
      </c>
      <c r="B58" s="2"/>
      <c r="C58" s="160">
        <f>SUM(C55:C57)</f>
        <v>66329.039999997476</v>
      </c>
      <c r="D58" s="36"/>
      <c r="H58" s="320" t="s">
        <v>176</v>
      </c>
      <c r="I58" s="321" t="s">
        <v>177</v>
      </c>
      <c r="J58" s="5"/>
    </row>
    <row r="59" spans="1:21" ht="16.5" thickTop="1" thickBot="1">
      <c r="A59" s="2"/>
      <c r="C59" s="101"/>
      <c r="D59" s="36"/>
      <c r="H59" s="351">
        <f>SUM('WA - Def-Amtz'!AL5:AL10,'WA - Def-Amtz'!AL41:AL46,'WA - Def-Amtz'!AL76:AL79,'ID - Def-Amtz '!AL5:AL10,'ID - Def-Amtz '!AL42:AL47,'ID - Def-Amtz '!AL75:AL80)</f>
        <v>7890436.3542569289</v>
      </c>
      <c r="I59" s="451">
        <f>SUM('WA - Def-Amtz'!AM5:AM10,'WA - Def-Amtz'!AM41:AM46,'WA - Def-Amtz'!AM76:AM79,'ID - Def-Amtz '!AM5:AM10,'ID - Def-Amtz '!AM42:AM47,'ID - Def-Amtz '!AM75:AM80)</f>
        <v>7890436.3542569289</v>
      </c>
      <c r="J59" s="386">
        <f>H51+I51+J51+K51</f>
        <v>-4078075.3470699997</v>
      </c>
    </row>
    <row r="60" spans="1:21" ht="16" thickBot="1">
      <c r="A60" s="9"/>
      <c r="B60" s="9" t="s">
        <v>95</v>
      </c>
      <c r="C60" s="125">
        <f>C58+C34</f>
        <v>2242870.8899999969</v>
      </c>
      <c r="D60" s="36"/>
      <c r="G60" s="5"/>
      <c r="I60" s="340">
        <f>H59-I59</f>
        <v>0</v>
      </c>
    </row>
    <row r="61" spans="1:21">
      <c r="A61" s="2"/>
      <c r="B61" s="9" t="s">
        <v>160</v>
      </c>
      <c r="C61" s="352">
        <v>2242870.89</v>
      </c>
      <c r="D61" s="37"/>
    </row>
    <row r="62" spans="1:21">
      <c r="A62" s="9"/>
      <c r="B62" s="9" t="s">
        <v>159</v>
      </c>
      <c r="C62" s="259">
        <f>ROUND(C60-C61,2)</f>
        <v>0</v>
      </c>
      <c r="N62" s="5"/>
      <c r="O62" s="5"/>
      <c r="P62" s="21"/>
    </row>
    <row r="63" spans="1:21">
      <c r="A63" s="44"/>
      <c r="C63" s="353"/>
      <c r="D63" s="36"/>
      <c r="S63" s="6"/>
    </row>
    <row r="64" spans="1:21">
      <c r="A64" s="44"/>
      <c r="C64" s="8"/>
      <c r="D64" s="43"/>
      <c r="N64" s="22"/>
      <c r="U64" s="2"/>
    </row>
    <row r="65" spans="1:21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4 I60">
    <cfRule type="cellIs" dxfId="708" priority="7" stopIfTrue="1" operator="equal">
      <formula>0</formula>
    </cfRule>
    <cfRule type="cellIs" dxfId="707" priority="8" stopIfTrue="1" operator="notEqual">
      <formula>0</formula>
    </cfRule>
  </conditionalFormatting>
  <conditionalFormatting sqref="G33 G45 K30 K45">
    <cfRule type="cellIs" dxfId="706" priority="6" operator="notEqual">
      <formula>0</formula>
    </cfRule>
  </conditionalFormatting>
  <conditionalFormatting sqref="C62">
    <cfRule type="cellIs" dxfId="705" priority="4" stopIfTrue="1" operator="equal">
      <formula>0</formula>
    </cfRule>
    <cfRule type="cellIs" dxfId="704" priority="5" stopIfTrue="1" operator="notEqual">
      <formula>0</formula>
    </cfRule>
  </conditionalFormatting>
  <conditionalFormatting sqref="K30">
    <cfRule type="cellIs" dxfId="703" priority="3" operator="notEqual">
      <formula>0</formula>
    </cfRule>
  </conditionalFormatting>
  <conditionalFormatting sqref="G57">
    <cfRule type="cellIs" dxfId="702" priority="2" operator="equal">
      <formula>"ERROR"</formula>
    </cfRule>
  </conditionalFormatting>
  <conditionalFormatting sqref="G57">
    <cfRule type="cellIs" dxfId="701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5">
    <tabColor rgb="FF00CC66"/>
    <pageSetUpPr fitToPage="1"/>
  </sheetPr>
  <dimension ref="A1:U1484"/>
  <sheetViews>
    <sheetView showGridLines="0" topLeftCell="A13" zoomScale="85" zoomScaleNormal="85" workbookViewId="0">
      <selection activeCell="I45" activeCellId="1" sqref="I32 I45"/>
    </sheetView>
  </sheetViews>
  <sheetFormatPr defaultColWidth="16" defaultRowHeight="15.5"/>
  <cols>
    <col min="1" max="1" width="44.8984375" style="386" customWidth="1"/>
    <col min="2" max="2" width="25.59765625" style="386" customWidth="1"/>
    <col min="3" max="3" width="25.296875" style="386" customWidth="1"/>
    <col min="4" max="4" width="2.69921875" style="30" customWidth="1"/>
    <col min="5" max="5" width="4.296875" style="386" customWidth="1"/>
    <col min="6" max="6" width="26.69921875" style="386" customWidth="1"/>
    <col min="7" max="7" width="19" style="386" customWidth="1"/>
    <col min="8" max="8" width="22" style="386" customWidth="1"/>
    <col min="9" max="9" width="20.3984375" style="386" customWidth="1"/>
    <col min="10" max="10" width="26.296875" style="386" customWidth="1"/>
    <col min="11" max="11" width="21.8984375" style="386" bestFit="1" customWidth="1"/>
    <col min="12" max="12" width="23.8984375" style="386" customWidth="1"/>
    <col min="13" max="13" width="20.8984375" style="386" bestFit="1" customWidth="1"/>
    <col min="14" max="15" width="16" style="386"/>
    <col min="16" max="16" width="16.296875" style="386" bestFit="1" customWidth="1"/>
    <col min="17" max="16384" width="16" style="386"/>
  </cols>
  <sheetData>
    <row r="1" spans="1:13" ht="16" thickBot="1">
      <c r="A1" s="145" t="s">
        <v>64</v>
      </c>
      <c r="B1" s="29"/>
      <c r="C1" s="534">
        <f>Sep!C1+1</f>
        <v>201510</v>
      </c>
      <c r="F1" s="534">
        <f>C1</f>
        <v>201510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>
      <c r="A4" s="387" t="s">
        <v>88</v>
      </c>
      <c r="C4" s="314">
        <f>4598122.63+1688.63</f>
        <v>4599811.26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44767.49-143.02</f>
        <v>44624.47</v>
      </c>
      <c r="D5" s="34"/>
      <c r="F5" s="387"/>
      <c r="G5" s="387"/>
      <c r="H5" s="11"/>
      <c r="I5" s="166">
        <v>0.70840000000000003</v>
      </c>
      <c r="J5" s="166">
        <f>1-I5</f>
        <v>0.29159999999999997</v>
      </c>
      <c r="K5" s="447">
        <f>ROUND(G45/(G45+K43),4)</f>
        <v>0.66890000000000005</v>
      </c>
      <c r="L5" s="447">
        <f>1-K5</f>
        <v>0.33109999999999995</v>
      </c>
      <c r="M5" s="387"/>
    </row>
    <row r="6" spans="1:13" ht="16" thickBot="1">
      <c r="A6" s="49" t="s">
        <v>30</v>
      </c>
      <c r="C6" s="315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" thickBot="1">
      <c r="A7" s="66" t="s">
        <v>140</v>
      </c>
      <c r="C7" s="100">
        <f>SUM(C4:C6)</f>
        <v>1328218.7899999996</v>
      </c>
      <c r="D7" s="35"/>
      <c r="F7" s="167" t="s">
        <v>139</v>
      </c>
      <c r="G7" s="167"/>
      <c r="H7" s="125">
        <f>C34</f>
        <v>2337538.9699999997</v>
      </c>
      <c r="I7" s="168">
        <f>H7*I5</f>
        <v>1655912.6063479998</v>
      </c>
      <c r="J7" s="168">
        <f>H7*J5</f>
        <v>681626.36365199985</v>
      </c>
      <c r="K7" s="168"/>
      <c r="L7" s="168"/>
      <c r="M7" s="387"/>
    </row>
    <row r="8" spans="1:13">
      <c r="A8" s="386" t="s">
        <v>89</v>
      </c>
      <c r="C8" s="314">
        <v>281655.98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>
      <c r="A9" s="387" t="s">
        <v>90</v>
      </c>
      <c r="C9" s="314">
        <v>8037.42</v>
      </c>
      <c r="D9" s="36"/>
      <c r="F9" s="167" t="s">
        <v>119</v>
      </c>
      <c r="G9" s="387"/>
      <c r="H9" s="168">
        <f>C55</f>
        <v>1804420.5300000003</v>
      </c>
      <c r="I9" s="168"/>
      <c r="J9" s="168"/>
      <c r="K9" s="168">
        <f>H9*K5</f>
        <v>1206976.8925170002</v>
      </c>
      <c r="L9" s="168">
        <f>H9*L5</f>
        <v>597443.63748299994</v>
      </c>
      <c r="M9" s="387"/>
    </row>
    <row r="10" spans="1:13">
      <c r="A10" s="49" t="s">
        <v>91</v>
      </c>
      <c r="C10" s="315">
        <v>-3387.71</v>
      </c>
      <c r="D10" s="36"/>
      <c r="F10" s="170" t="s">
        <v>44</v>
      </c>
      <c r="G10" s="387"/>
      <c r="H10" s="168">
        <f>C56</f>
        <v>-6137.78</v>
      </c>
      <c r="I10" s="168"/>
      <c r="J10" s="168"/>
      <c r="K10" s="168">
        <f>H10</f>
        <v>-6137.78</v>
      </c>
      <c r="L10" s="168"/>
      <c r="M10" s="387"/>
    </row>
    <row r="11" spans="1:13">
      <c r="A11" s="66" t="s">
        <v>145</v>
      </c>
      <c r="C11" s="100">
        <f>SUM(C8:C10)</f>
        <v>286305.68999999994</v>
      </c>
      <c r="D11" s="36"/>
      <c r="F11" s="170" t="s">
        <v>45</v>
      </c>
      <c r="G11" s="387"/>
      <c r="H11" s="171">
        <f>C57</f>
        <v>-2155.16</v>
      </c>
      <c r="I11" s="168"/>
      <c r="J11" s="168"/>
      <c r="K11" s="171"/>
      <c r="L11" s="171">
        <f>H11</f>
        <v>-2155.16</v>
      </c>
      <c r="M11" s="387"/>
    </row>
    <row r="12" spans="1:13">
      <c r="A12" s="386" t="s">
        <v>165</v>
      </c>
      <c r="C12" s="314">
        <f>239811.67+4490.47</f>
        <v>244302.14</v>
      </c>
      <c r="D12" s="36"/>
      <c r="F12" s="170" t="s">
        <v>138</v>
      </c>
      <c r="G12" s="387"/>
      <c r="H12" s="168">
        <f>H9+H10+H11</f>
        <v>1796127.5900000003</v>
      </c>
      <c r="I12" s="168"/>
      <c r="J12" s="168"/>
      <c r="K12" s="168">
        <f>SUM(K9:K11)</f>
        <v>1200839.1125170002</v>
      </c>
      <c r="L12" s="168">
        <f>SUM(L9:L11)</f>
        <v>595288.47748299991</v>
      </c>
      <c r="M12" s="387"/>
    </row>
    <row r="13" spans="1:13" ht="16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" thickBot="1">
      <c r="A14" s="66" t="s">
        <v>92</v>
      </c>
      <c r="C14" s="100">
        <f>SUM(C12:C13)</f>
        <v>244302.14</v>
      </c>
      <c r="D14" s="37"/>
      <c r="F14" s="50" t="s">
        <v>69</v>
      </c>
      <c r="G14" s="176"/>
      <c r="H14" s="125">
        <f>H12+H7</f>
        <v>4133666.56</v>
      </c>
      <c r="I14" s="177">
        <f>SUM(I7:I13)</f>
        <v>1655912.6063479998</v>
      </c>
      <c r="J14" s="177">
        <f>SUM(J7:J13)</f>
        <v>681626.36365199985</v>
      </c>
      <c r="K14" s="177">
        <f>K12</f>
        <v>1200839.1125170002</v>
      </c>
      <c r="L14" s="177">
        <f>L12</f>
        <v>595288.47748299991</v>
      </c>
      <c r="M14" s="387"/>
    </row>
    <row r="15" spans="1:13">
      <c r="A15" s="386" t="s">
        <v>184</v>
      </c>
      <c r="C15" s="314">
        <f>451939.51+8462.55</f>
        <v>460402.06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6" thickBot="1">
      <c r="A17" s="66" t="s">
        <v>186</v>
      </c>
      <c r="C17" s="100">
        <f>SUM(C15:C16)</f>
        <v>460402.06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" thickBot="1">
      <c r="A18" s="386" t="s">
        <v>163</v>
      </c>
      <c r="C18" s="314">
        <f>6194.07+1329.5+63780.98</f>
        <v>71304.55</v>
      </c>
      <c r="D18" s="36"/>
      <c r="F18" s="704" t="s">
        <v>134</v>
      </c>
      <c r="G18" s="705"/>
      <c r="H18" s="705"/>
      <c r="I18" s="706"/>
      <c r="J18" s="704" t="s">
        <v>135</v>
      </c>
      <c r="K18" s="705"/>
      <c r="L18" s="705"/>
      <c r="M18" s="706"/>
    </row>
    <row r="19" spans="1:13">
      <c r="A19" s="46" t="s">
        <v>164</v>
      </c>
      <c r="C19" s="315">
        <v>1110.82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" thickBot="1">
      <c r="A20" s="67" t="s">
        <v>93</v>
      </c>
      <c r="C20" s="100">
        <f>SUM(C18:C19)</f>
        <v>72415.37000000001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>
      <c r="A21" s="46" t="s">
        <v>149</v>
      </c>
      <c r="C21" s="315">
        <f>670.05+7647.18</f>
        <v>8317.23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8317.23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>
      <c r="A23" s="209" t="s">
        <v>181</v>
      </c>
      <c r="C23" s="100">
        <v>0</v>
      </c>
      <c r="D23" s="36"/>
      <c r="F23" s="201" t="s">
        <v>37</v>
      </c>
      <c r="G23" s="264">
        <v>4833518</v>
      </c>
      <c r="H23" s="391">
        <v>0.1183</v>
      </c>
      <c r="I23" s="197">
        <f t="shared" ref="I23:I31" si="0">G23*H23</f>
        <v>571805.17940000002</v>
      </c>
      <c r="J23" s="201" t="s">
        <v>37</v>
      </c>
      <c r="K23" s="264">
        <v>2476612</v>
      </c>
      <c r="L23" s="391">
        <v>0.10721</v>
      </c>
      <c r="M23" s="197">
        <f>K23*L23</f>
        <v>265517.57251999999</v>
      </c>
    </row>
    <row r="24" spans="1:13">
      <c r="A24" s="209" t="s">
        <v>187</v>
      </c>
      <c r="C24" s="314">
        <v>0</v>
      </c>
      <c r="D24" s="36"/>
      <c r="F24" s="201" t="s">
        <v>351</v>
      </c>
      <c r="G24" s="264">
        <v>425</v>
      </c>
      <c r="H24" s="391">
        <v>0.1183</v>
      </c>
      <c r="I24" s="197">
        <f t="shared" si="0"/>
        <v>50.277500000000003</v>
      </c>
      <c r="J24" s="201" t="s">
        <v>38</v>
      </c>
      <c r="K24" s="264">
        <v>1392647</v>
      </c>
      <c r="L24" s="391">
        <v>0.10721</v>
      </c>
      <c r="M24" s="197">
        <f t="shared" ref="M24:M27" si="1">K24*L24</f>
        <v>149305.68487</v>
      </c>
    </row>
    <row r="25" spans="1:13">
      <c r="A25" s="209" t="s">
        <v>190</v>
      </c>
      <c r="C25" s="316">
        <v>0</v>
      </c>
      <c r="D25" s="36"/>
      <c r="F25" s="201" t="s">
        <v>38</v>
      </c>
      <c r="G25" s="264">
        <v>2624293</v>
      </c>
      <c r="H25" s="391">
        <v>0.11607000000000001</v>
      </c>
      <c r="I25" s="197">
        <f t="shared" si="0"/>
        <v>304601.68851000001</v>
      </c>
      <c r="J25" s="201" t="s">
        <v>39</v>
      </c>
      <c r="K25" s="264">
        <v>68934</v>
      </c>
      <c r="L25" s="391">
        <v>0.10721</v>
      </c>
      <c r="M25" s="197">
        <f t="shared" si="1"/>
        <v>7390.4141399999999</v>
      </c>
    </row>
    <row r="26" spans="1:13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0.11607000000000001</v>
      </c>
      <c r="I26" s="197">
        <f t="shared" si="0"/>
        <v>0</v>
      </c>
      <c r="J26" s="201" t="s">
        <v>40</v>
      </c>
      <c r="K26" s="264">
        <v>0</v>
      </c>
      <c r="L26" s="391">
        <v>0.10721</v>
      </c>
      <c r="M26" s="197">
        <f t="shared" si="1"/>
        <v>0</v>
      </c>
    </row>
    <row r="27" spans="1:13">
      <c r="A27" s="65" t="s">
        <v>96</v>
      </c>
      <c r="C27" s="100">
        <f>SUM(C23:C26)</f>
        <v>0</v>
      </c>
      <c r="D27" s="36"/>
      <c r="F27" s="201" t="s">
        <v>40</v>
      </c>
      <c r="G27" s="264">
        <v>365802</v>
      </c>
      <c r="H27" s="391">
        <v>9.783E-2</v>
      </c>
      <c r="I27" s="197">
        <f t="shared" si="0"/>
        <v>35786.409659999998</v>
      </c>
      <c r="J27" s="201" t="s">
        <v>41</v>
      </c>
      <c r="K27" s="264">
        <v>0</v>
      </c>
      <c r="L27" s="391">
        <v>0.10721</v>
      </c>
      <c r="M27" s="197">
        <f t="shared" si="1"/>
        <v>0</v>
      </c>
    </row>
    <row r="28" spans="1:13" ht="16" thickBot="1">
      <c r="A28" s="211" t="s">
        <v>150</v>
      </c>
      <c r="C28" s="314">
        <v>0</v>
      </c>
      <c r="D28" s="37"/>
      <c r="F28" s="201" t="s">
        <v>41</v>
      </c>
      <c r="G28" s="264">
        <v>36487</v>
      </c>
      <c r="H28" s="391">
        <v>9.783E-2</v>
      </c>
      <c r="I28" s="197">
        <f t="shared" si="0"/>
        <v>3569.5232099999998</v>
      </c>
      <c r="J28" s="200" t="s">
        <v>127</v>
      </c>
      <c r="K28" s="182">
        <f>SUM(K23:K27)</f>
        <v>3938193</v>
      </c>
      <c r="L28" s="183"/>
      <c r="M28" s="198">
        <f>SUM(M23:M27)</f>
        <v>422213.67152999999</v>
      </c>
    </row>
    <row r="29" spans="1:13" ht="16.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6.9959999999999994E-2</v>
      </c>
      <c r="I29" s="197">
        <f t="shared" si="0"/>
        <v>0</v>
      </c>
      <c r="J29" s="200"/>
      <c r="K29" s="232">
        <v>3938193</v>
      </c>
      <c r="L29" s="188" t="s">
        <v>102</v>
      </c>
      <c r="M29" s="467">
        <f>M28/K28</f>
        <v>0.10721</v>
      </c>
    </row>
    <row r="30" spans="1:13" ht="16" thickBot="1">
      <c r="A30" s="2" t="s">
        <v>111</v>
      </c>
      <c r="C30" s="125">
        <f>C7+C11+C14+C17+C20+C22+C27+C28+C29</f>
        <v>2399961.2799999998</v>
      </c>
      <c r="D30" s="37"/>
      <c r="F30" s="201" t="s">
        <v>43</v>
      </c>
      <c r="G30" s="264">
        <v>96224</v>
      </c>
      <c r="H30" s="391">
        <v>6.9959999999999994E-2</v>
      </c>
      <c r="I30" s="197">
        <f t="shared" si="0"/>
        <v>6731.8310399999991</v>
      </c>
      <c r="J30" s="201"/>
      <c r="K30" s="231">
        <f>K28-K29</f>
        <v>0</v>
      </c>
      <c r="L30" s="183"/>
      <c r="M30" s="199"/>
    </row>
    <row r="31" spans="1:13">
      <c r="A31" s="386" t="s">
        <v>112</v>
      </c>
      <c r="C31" s="694">
        <v>-8649.6</v>
      </c>
      <c r="D31" s="39"/>
      <c r="F31" s="201" t="s">
        <v>74</v>
      </c>
      <c r="G31" s="264">
        <v>2201297</v>
      </c>
      <c r="H31" s="391">
        <v>5.4000000000000001E-4</v>
      </c>
      <c r="I31" s="197">
        <f t="shared" si="0"/>
        <v>1188.70038</v>
      </c>
      <c r="J31" s="153"/>
      <c r="K31" s="7"/>
      <c r="L31" s="183"/>
      <c r="M31" s="199"/>
    </row>
    <row r="32" spans="1:13" ht="16" thickBot="1">
      <c r="A32" s="2" t="s">
        <v>116</v>
      </c>
      <c r="B32" s="2" t="s">
        <v>117</v>
      </c>
      <c r="C32" s="240">
        <f>C30+C31</f>
        <v>2391311.6799999997</v>
      </c>
      <c r="D32" s="40"/>
      <c r="F32" s="200" t="s">
        <v>127</v>
      </c>
      <c r="G32" s="182">
        <f>SUM(G23:G31)</f>
        <v>10158046</v>
      </c>
      <c r="H32" s="7"/>
      <c r="I32" s="198">
        <f>SUM(I23:I31)</f>
        <v>923733.60970000003</v>
      </c>
      <c r="J32" s="193"/>
      <c r="K32" s="194"/>
      <c r="L32" s="7"/>
      <c r="M32" s="191"/>
    </row>
    <row r="33" spans="1:17" ht="16.5" thickTop="1" thickBot="1">
      <c r="A33" s="386" t="s">
        <v>113</v>
      </c>
      <c r="C33" s="313">
        <f>-C5-C9-C13-C16-C19</f>
        <v>-53772.71</v>
      </c>
      <c r="D33" s="36"/>
      <c r="F33" s="187"/>
      <c r="G33" s="232">
        <f>10157621+425</f>
        <v>10158046</v>
      </c>
      <c r="H33" s="188" t="s">
        <v>102</v>
      </c>
      <c r="I33" s="217">
        <f>I32/G32</f>
        <v>9.0936151470469823E-2</v>
      </c>
      <c r="J33" s="193"/>
      <c r="K33" s="194"/>
      <c r="L33" s="7"/>
      <c r="M33" s="98"/>
    </row>
    <row r="34" spans="1:17" ht="16" thickBot="1">
      <c r="A34" s="2" t="s">
        <v>114</v>
      </c>
      <c r="C34" s="125">
        <f>SUM(C32:C33)</f>
        <v>2337538.9699999997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702"/>
      <c r="L35" s="702"/>
      <c r="M35" s="703"/>
    </row>
    <row r="36" spans="1:17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2476612</v>
      </c>
      <c r="L36" s="391">
        <v>0.38272</v>
      </c>
      <c r="M36" s="197">
        <f t="shared" ref="M36:M42" si="2">K36*L36</f>
        <v>947848.94464</v>
      </c>
      <c r="P36" s="275"/>
      <c r="Q36" s="275"/>
    </row>
    <row r="37" spans="1:17">
      <c r="A37" s="7" t="s">
        <v>129</v>
      </c>
      <c r="B37" s="540" t="s">
        <v>115</v>
      </c>
      <c r="C37" s="122">
        <v>9907536.0800000001</v>
      </c>
      <c r="D37" s="36"/>
      <c r="F37" s="201" t="s">
        <v>37</v>
      </c>
      <c r="G37" s="265">
        <f>G23</f>
        <v>4833518</v>
      </c>
      <c r="H37" s="391">
        <v>0.38496999999999998</v>
      </c>
      <c r="I37" s="197">
        <f t="shared" ref="I37:I44" si="3">G37*H37</f>
        <v>1860759.4244599999</v>
      </c>
      <c r="J37" s="201" t="s">
        <v>38</v>
      </c>
      <c r="K37" s="265">
        <f>K24</f>
        <v>1392647</v>
      </c>
      <c r="L37" s="391">
        <v>0.38272</v>
      </c>
      <c r="M37" s="197">
        <f t="shared" si="2"/>
        <v>532993.85984000005</v>
      </c>
      <c r="P37" s="275"/>
      <c r="Q37" s="275"/>
    </row>
    <row r="38" spans="1:17">
      <c r="A38" s="144" t="s">
        <v>14</v>
      </c>
      <c r="B38" s="540" t="s">
        <v>115</v>
      </c>
      <c r="C38" s="694">
        <v>8649.6</v>
      </c>
      <c r="D38" s="36"/>
      <c r="F38" s="201" t="s">
        <v>351</v>
      </c>
      <c r="G38" s="265">
        <f>G24</f>
        <v>425</v>
      </c>
      <c r="H38" s="391">
        <v>0.38496999999999998</v>
      </c>
      <c r="I38" s="197">
        <f t="shared" si="3"/>
        <v>163.61224999999999</v>
      </c>
      <c r="J38" s="201" t="s">
        <v>39</v>
      </c>
      <c r="K38" s="265">
        <f>K25</f>
        <v>68934</v>
      </c>
      <c r="L38" s="391">
        <v>0.38272</v>
      </c>
      <c r="M38" s="197">
        <f t="shared" si="2"/>
        <v>26382.420480000001</v>
      </c>
      <c r="P38" s="275"/>
      <c r="Q38" s="275"/>
    </row>
    <row r="39" spans="1:17">
      <c r="A39" s="7" t="s">
        <v>146</v>
      </c>
      <c r="B39" s="540" t="s">
        <v>147</v>
      </c>
      <c r="C39" s="122">
        <v>-21312.5</v>
      </c>
      <c r="D39" s="36"/>
      <c r="F39" s="201" t="s">
        <v>38</v>
      </c>
      <c r="G39" s="265">
        <f t="shared" ref="G39:G44" si="4">G25</f>
        <v>2624293</v>
      </c>
      <c r="H39" s="391">
        <v>0.38496999999999998</v>
      </c>
      <c r="I39" s="197">
        <f t="shared" si="3"/>
        <v>1010274.07621</v>
      </c>
      <c r="J39" s="201" t="s">
        <v>40</v>
      </c>
      <c r="K39" s="265">
        <f>K26</f>
        <v>0</v>
      </c>
      <c r="L39" s="391">
        <v>0.38272</v>
      </c>
      <c r="M39" s="197">
        <f t="shared" si="2"/>
        <v>0</v>
      </c>
      <c r="P39" s="275"/>
      <c r="Q39" s="275"/>
    </row>
    <row r="40" spans="1:17">
      <c r="A40" s="7" t="s">
        <v>131</v>
      </c>
      <c r="B40" s="540" t="s">
        <v>132</v>
      </c>
      <c r="C40" s="122">
        <v>-116284.88</v>
      </c>
      <c r="D40" s="36"/>
      <c r="F40" s="201" t="s">
        <v>39</v>
      </c>
      <c r="G40" s="265">
        <f t="shared" si="4"/>
        <v>0</v>
      </c>
      <c r="H40" s="391">
        <v>0.38496999999999998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0.38272</v>
      </c>
      <c r="M40" s="197">
        <f t="shared" si="2"/>
        <v>0</v>
      </c>
      <c r="P40" s="275"/>
      <c r="Q40" s="275"/>
    </row>
    <row r="41" spans="1:17">
      <c r="A41" s="7" t="s">
        <v>153</v>
      </c>
      <c r="B41" s="6" t="s">
        <v>155</v>
      </c>
      <c r="C41" s="122">
        <v>-68065.13</v>
      </c>
      <c r="D41" s="36"/>
      <c r="F41" s="201" t="s">
        <v>40</v>
      </c>
      <c r="G41" s="265">
        <f t="shared" si="4"/>
        <v>365802</v>
      </c>
      <c r="H41" s="391">
        <v>0.38496999999999998</v>
      </c>
      <c r="I41" s="197">
        <f t="shared" si="3"/>
        <v>140822.79593999998</v>
      </c>
      <c r="J41" s="201" t="s">
        <v>42</v>
      </c>
      <c r="K41" s="264">
        <v>0</v>
      </c>
      <c r="L41" s="391">
        <v>0.38272</v>
      </c>
      <c r="M41" s="197">
        <f t="shared" si="2"/>
        <v>0</v>
      </c>
      <c r="P41" s="275"/>
      <c r="Q41" s="275"/>
    </row>
    <row r="42" spans="1:17" ht="16" thickBot="1">
      <c r="A42" s="7" t="s">
        <v>179</v>
      </c>
      <c r="B42" s="540" t="s">
        <v>180</v>
      </c>
      <c r="C42" s="122">
        <v>642575.43000000005</v>
      </c>
      <c r="D42" s="37"/>
      <c r="F42" s="201" t="s">
        <v>41</v>
      </c>
      <c r="G42" s="265">
        <f t="shared" si="4"/>
        <v>36487</v>
      </c>
      <c r="H42" s="391">
        <v>0.38496999999999998</v>
      </c>
      <c r="I42" s="197">
        <f t="shared" si="3"/>
        <v>14046.400389999999</v>
      </c>
      <c r="J42" s="201" t="s">
        <v>43</v>
      </c>
      <c r="K42" s="266">
        <v>0</v>
      </c>
      <c r="L42" s="391">
        <v>0.38272</v>
      </c>
      <c r="M42" s="197">
        <f t="shared" si="2"/>
        <v>0</v>
      </c>
      <c r="P42" s="275"/>
      <c r="Q42" s="275"/>
    </row>
    <row r="43" spans="1:17" ht="16" thickBot="1">
      <c r="A43" s="85" t="s">
        <v>123</v>
      </c>
      <c r="B43" s="12"/>
      <c r="C43" s="125">
        <f>SUM(C37:C42)</f>
        <v>10353098.599999998</v>
      </c>
      <c r="D43" s="36"/>
      <c r="F43" s="201" t="s">
        <v>42</v>
      </c>
      <c r="G43" s="265">
        <f t="shared" si="4"/>
        <v>0</v>
      </c>
      <c r="H43" s="391">
        <v>0.38496999999999998</v>
      </c>
      <c r="I43" s="197">
        <f t="shared" si="3"/>
        <v>0</v>
      </c>
      <c r="J43" s="200" t="s">
        <v>133</v>
      </c>
      <c r="K43" s="182">
        <f>SUM(K36:K42)</f>
        <v>3938193</v>
      </c>
      <c r="L43" s="183"/>
      <c r="M43" s="198">
        <f>SUM(M36:M42)</f>
        <v>1507225.22496</v>
      </c>
    </row>
    <row r="44" spans="1:17" ht="16" thickBot="1">
      <c r="A44" s="83" t="s">
        <v>178</v>
      </c>
      <c r="B44" s="84" t="s">
        <v>120</v>
      </c>
      <c r="C44" s="122">
        <f>231476.11-508223.45</f>
        <v>-276747.34000000003</v>
      </c>
      <c r="D44" s="37"/>
      <c r="F44" s="201" t="s">
        <v>43</v>
      </c>
      <c r="G44" s="265">
        <f t="shared" si="4"/>
        <v>96224</v>
      </c>
      <c r="H44" s="391">
        <v>0.38496999999999998</v>
      </c>
      <c r="I44" s="197">
        <f t="shared" si="3"/>
        <v>37043.353279999996</v>
      </c>
      <c r="J44" s="195"/>
      <c r="K44" s="233">
        <v>3938193</v>
      </c>
      <c r="L44" s="190" t="s">
        <v>102</v>
      </c>
      <c r="M44" s="218">
        <f>M43/K43</f>
        <v>0.38272</v>
      </c>
    </row>
    <row r="45" spans="1:17" ht="16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7956749</v>
      </c>
      <c r="H45" s="183"/>
      <c r="I45" s="198">
        <f>SUM(I37:I44)</f>
        <v>3063109.6625299999</v>
      </c>
      <c r="J45" s="124"/>
      <c r="K45" s="231">
        <f>K43-K44</f>
        <v>0</v>
      </c>
      <c r="L45" s="387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7956749</v>
      </c>
      <c r="H46" s="190" t="s">
        <v>102</v>
      </c>
      <c r="I46" s="216">
        <f>I45/G45</f>
        <v>0.38496999999999998</v>
      </c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114"/>
      <c r="L47" s="387"/>
      <c r="M47" s="68"/>
    </row>
    <row r="48" spans="1:17" ht="16" thickBot="1">
      <c r="A48" s="144" t="s">
        <v>348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>
      <c r="A49" s="7" t="s">
        <v>130</v>
      </c>
      <c r="B49" s="540" t="s">
        <v>152</v>
      </c>
      <c r="C49" s="122">
        <v>35750.39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" thickBot="1">
      <c r="A50" s="7" t="s">
        <v>350</v>
      </c>
      <c r="B50" s="540" t="s">
        <v>152</v>
      </c>
      <c r="C50" s="122">
        <v>7282.47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>
      <c r="A51" s="7" t="s">
        <v>224</v>
      </c>
      <c r="B51" s="540" t="s">
        <v>152</v>
      </c>
      <c r="C51" s="122">
        <v>4309.91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>
      <c r="A52" s="22" t="s">
        <v>118</v>
      </c>
      <c r="B52" s="6"/>
      <c r="C52" s="695">
        <f>-C33</f>
        <v>53772.71</v>
      </c>
      <c r="D52" s="33"/>
      <c r="F52" s="387" t="s">
        <v>136</v>
      </c>
      <c r="G52" s="387"/>
      <c r="H52" s="213">
        <f>K12</f>
        <v>1200839.1125170002</v>
      </c>
      <c r="I52" s="115">
        <f>I14</f>
        <v>1655912.6063479998</v>
      </c>
      <c r="J52" s="115">
        <f>L12</f>
        <v>595288.47748299991</v>
      </c>
      <c r="K52" s="115">
        <f>J14</f>
        <v>681626.36365199985</v>
      </c>
      <c r="L52" s="132">
        <f>SUM(H52:K52)</f>
        <v>4133666.5599999991</v>
      </c>
      <c r="M52" s="387"/>
    </row>
    <row r="53" spans="1:21" ht="16" thickBot="1">
      <c r="A53" s="384" t="s">
        <v>124</v>
      </c>
      <c r="B53" s="475" t="s">
        <v>316</v>
      </c>
      <c r="C53" s="314">
        <f>-3352069.43+205388.18-4856364.96</f>
        <v>-8003046.21</v>
      </c>
      <c r="D53" s="36"/>
      <c r="F53" s="386" t="s">
        <v>109</v>
      </c>
      <c r="H53" s="213">
        <f>-I45</f>
        <v>-3063109.6625299999</v>
      </c>
      <c r="I53" s="115">
        <f>-I32</f>
        <v>-923733.60970000003</v>
      </c>
      <c r="J53" s="115">
        <f>-M43</f>
        <v>-1507225.22496</v>
      </c>
      <c r="K53" s="115">
        <f>-M28</f>
        <v>-422213.67152999999</v>
      </c>
      <c r="L53" s="263">
        <f>SUM(H53:K53)</f>
        <v>-5916282.1687199995</v>
      </c>
    </row>
    <row r="54" spans="1:21" ht="16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-1782615.6087200004</v>
      </c>
    </row>
    <row r="55" spans="1:21" ht="16" thickBot="1">
      <c r="A55" s="82" t="s">
        <v>119</v>
      </c>
      <c r="B55" s="84"/>
      <c r="C55" s="160">
        <f>SUM(C43:C54)</f>
        <v>1804420.5300000003</v>
      </c>
      <c r="D55" s="36"/>
      <c r="F55" s="386" t="s">
        <v>71</v>
      </c>
      <c r="H55" s="125">
        <f>IFERROR(H52+H53+H54,0)</f>
        <v>-1862270.5500129997</v>
      </c>
      <c r="I55" s="125">
        <f>I52+I53+I54</f>
        <v>732178.99664799974</v>
      </c>
      <c r="J55" s="125">
        <f>IFERROR(J52+J53+J54,0)</f>
        <v>-911936.74747700011</v>
      </c>
      <c r="K55" s="125">
        <f>K52+K53+K54</f>
        <v>259412.69212199986</v>
      </c>
      <c r="L55" s="47">
        <f>SUM(H55:K55)</f>
        <v>-1782615.6087200004</v>
      </c>
    </row>
    <row r="56" spans="1:21" ht="16.5" thickTop="1" thickBot="1">
      <c r="A56" s="386" t="s">
        <v>121</v>
      </c>
      <c r="B56" s="6" t="s">
        <v>115</v>
      </c>
      <c r="C56" s="122">
        <v>-6137.78</v>
      </c>
      <c r="D56" s="36"/>
      <c r="F56" s="241" t="s">
        <v>182</v>
      </c>
      <c r="H56" s="386" t="s">
        <v>173</v>
      </c>
      <c r="I56" s="5">
        <f>SUM(H55:I55)</f>
        <v>-1130091.5533650001</v>
      </c>
      <c r="J56" s="15" t="s">
        <v>174</v>
      </c>
      <c r="K56" s="386">
        <f>SUM(J55:K55)</f>
        <v>-652524.05535500031</v>
      </c>
      <c r="L56" s="214">
        <f>ROUND(L54-L55,3)</f>
        <v>0</v>
      </c>
      <c r="T56" s="42"/>
    </row>
    <row r="57" spans="1:21" ht="16" thickTop="1">
      <c r="A57" s="386" t="s">
        <v>122</v>
      </c>
      <c r="B57" s="6" t="s">
        <v>115</v>
      </c>
      <c r="C57" s="122">
        <v>-2155.16</v>
      </c>
      <c r="D57" s="36"/>
      <c r="F57" s="399" t="s">
        <v>182</v>
      </c>
      <c r="H57" s="96"/>
    </row>
    <row r="58" spans="1:21" ht="16" thickBot="1">
      <c r="A58" s="2" t="s">
        <v>125</v>
      </c>
      <c r="B58" s="2"/>
      <c r="C58" s="160">
        <f>SUM(C55:C57)</f>
        <v>1796127.5900000003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5" thickTop="1" thickBot="1">
      <c r="A59" s="2"/>
      <c r="C59" s="101"/>
      <c r="D59" s="36"/>
      <c r="F59" s="551" t="s">
        <v>323</v>
      </c>
      <c r="G59" s="553"/>
      <c r="H59" s="388" t="s">
        <v>314</v>
      </c>
      <c r="I59" s="389"/>
    </row>
    <row r="60" spans="1:21" ht="16" thickBot="1">
      <c r="A60" s="9"/>
      <c r="B60" s="9" t="s">
        <v>95</v>
      </c>
      <c r="C60" s="125">
        <f>C58+C34</f>
        <v>4133666.56</v>
      </c>
      <c r="D60" s="36"/>
      <c r="H60" s="320" t="s">
        <v>176</v>
      </c>
      <c r="I60" s="321" t="s">
        <v>177</v>
      </c>
      <c r="J60" s="5"/>
    </row>
    <row r="61" spans="1:21" ht="16" thickBot="1">
      <c r="A61" s="2"/>
      <c r="B61" s="9" t="s">
        <v>160</v>
      </c>
      <c r="C61" s="352">
        <v>4133666.56</v>
      </c>
      <c r="D61" s="37"/>
      <c r="H61" s="351">
        <f>SUM('WA - Def-Amtz'!AL5:AL10,'WA - Def-Amtz'!AL41:AL46,'WA - Def-Amtz'!AL76:AL79,'ID - Def-Amtz '!AL5:AL10,'ID - Def-Amtz '!AL42:AL47,'ID - Def-Amtz '!AL75:AL80)</f>
        <v>7890436.3542569289</v>
      </c>
      <c r="I61" s="451">
        <f>SUM('WA - Def-Amtz'!AM5:AM10,'WA - Def-Amtz'!AM41:AM46,'WA - Def-Amtz'!AM76:AM79,'ID - Def-Amtz '!AM5:AM10,'ID - Def-Amtz '!AM42:AM47,'ID - Def-Amtz '!AM75:AM80)</f>
        <v>7890436.3542569289</v>
      </c>
      <c r="J61" s="386">
        <f>H53+I53+J53+K53</f>
        <v>-5916282.1687199995</v>
      </c>
    </row>
    <row r="62" spans="1:21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P62" s="21"/>
    </row>
    <row r="63" spans="1:21">
      <c r="A63" s="44"/>
      <c r="C63" s="353"/>
      <c r="D63" s="36"/>
      <c r="N63" s="5"/>
      <c r="O63" s="5"/>
      <c r="S63" s="6"/>
    </row>
    <row r="64" spans="1:21">
      <c r="A64" s="44"/>
      <c r="C64" s="8"/>
      <c r="D64" s="43"/>
      <c r="U64" s="2"/>
    </row>
    <row r="65" spans="1:21">
      <c r="A65" s="2"/>
      <c r="C65" s="8"/>
      <c r="D65" s="36"/>
      <c r="N65" s="22"/>
      <c r="S65" s="23"/>
    </row>
    <row r="66" spans="1:21">
      <c r="C66" s="100"/>
      <c r="D66" s="36"/>
      <c r="I66" s="96">
        <f>I45/(I45+M43)</f>
        <v>0.67021558330755959</v>
      </c>
      <c r="N66" s="22"/>
      <c r="S66" s="24"/>
    </row>
    <row r="67" spans="1:21">
      <c r="D67" s="36"/>
      <c r="I67" s="96">
        <f>K14/(K14+L14)</f>
        <v>0.66857116343110135</v>
      </c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  <c r="N71" s="22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700" priority="7" stopIfTrue="1" operator="equal">
      <formula>0</formula>
    </cfRule>
    <cfRule type="cellIs" dxfId="699" priority="8" stopIfTrue="1" operator="notEqual">
      <formula>0</formula>
    </cfRule>
  </conditionalFormatting>
  <conditionalFormatting sqref="G34 G47 K30 K45">
    <cfRule type="cellIs" dxfId="698" priority="6" operator="notEqual">
      <formula>0</formula>
    </cfRule>
  </conditionalFormatting>
  <conditionalFormatting sqref="C62">
    <cfRule type="cellIs" dxfId="697" priority="4" stopIfTrue="1" operator="equal">
      <formula>0</formula>
    </cfRule>
    <cfRule type="cellIs" dxfId="696" priority="5" stopIfTrue="1" operator="notEqual">
      <formula>0</formula>
    </cfRule>
  </conditionalFormatting>
  <conditionalFormatting sqref="K30">
    <cfRule type="cellIs" dxfId="695" priority="3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6">
    <tabColor rgb="FF66FF33"/>
    <pageSetUpPr fitToPage="1"/>
  </sheetPr>
  <dimension ref="A1:U1484"/>
  <sheetViews>
    <sheetView showGridLines="0" topLeftCell="A16" zoomScale="85" zoomScaleNormal="85" workbookViewId="0">
      <selection activeCell="I45" activeCellId="1" sqref="I32 I45"/>
    </sheetView>
  </sheetViews>
  <sheetFormatPr defaultColWidth="16" defaultRowHeight="15.5"/>
  <cols>
    <col min="1" max="1" width="44.8984375" style="386" customWidth="1"/>
    <col min="2" max="2" width="25.59765625" style="386" customWidth="1"/>
    <col min="3" max="3" width="25.296875" style="386" customWidth="1"/>
    <col min="4" max="4" width="2.69921875" style="30" customWidth="1"/>
    <col min="5" max="5" width="4.296875" style="386" customWidth="1"/>
    <col min="6" max="6" width="26.69921875" style="386" customWidth="1"/>
    <col min="7" max="7" width="19" style="386" customWidth="1"/>
    <col min="8" max="8" width="22" style="386" customWidth="1"/>
    <col min="9" max="9" width="20.3984375" style="386" customWidth="1"/>
    <col min="10" max="10" width="26.296875" style="386" customWidth="1"/>
    <col min="11" max="11" width="21.8984375" style="386" bestFit="1" customWidth="1"/>
    <col min="12" max="12" width="23.8984375" style="386" customWidth="1"/>
    <col min="13" max="13" width="20.8984375" style="386" bestFit="1" customWidth="1"/>
    <col min="14" max="15" width="16" style="386"/>
    <col min="16" max="16" width="16.296875" style="386" bestFit="1" customWidth="1"/>
    <col min="17" max="16384" width="16" style="386"/>
  </cols>
  <sheetData>
    <row r="1" spans="1:13" ht="16" thickBot="1">
      <c r="A1" s="145" t="s">
        <v>64</v>
      </c>
      <c r="B1" s="29"/>
      <c r="C1" s="534">
        <f>Oct!C1+1</f>
        <v>201511</v>
      </c>
      <c r="F1" s="534">
        <f>C1</f>
        <v>201511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>
      <c r="A4" s="387" t="s">
        <v>88</v>
      </c>
      <c r="C4" s="314">
        <v>4449796.09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100181.99+175.75</f>
        <v>100357.74</v>
      </c>
      <c r="D5" s="34"/>
      <c r="F5" s="387"/>
      <c r="G5" s="387"/>
      <c r="H5" s="11"/>
      <c r="I5" s="166">
        <v>0.70660000000000001</v>
      </c>
      <c r="J5" s="166">
        <v>0.29339999999999999</v>
      </c>
      <c r="K5" s="447">
        <f>ROUND(G45/(G45+K43),4)</f>
        <v>0.69059999999999999</v>
      </c>
      <c r="L5" s="447">
        <f>1-K5</f>
        <v>0.30940000000000001</v>
      </c>
      <c r="M5" s="387"/>
    </row>
    <row r="6" spans="1:13" ht="16" thickBot="1">
      <c r="A6" s="49" t="s">
        <v>30</v>
      </c>
      <c r="C6" s="315">
        <f>-2267480.4-430500-71463-123000-138375-79335-99088.8</f>
        <v>-3209242.1999999997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" thickBot="1">
      <c r="A7" s="66" t="s">
        <v>140</v>
      </c>
      <c r="C7" s="100">
        <f>SUM(C4:C6)</f>
        <v>1340911.6300000004</v>
      </c>
      <c r="D7" s="35"/>
      <c r="F7" s="167" t="s">
        <v>139</v>
      </c>
      <c r="G7" s="167"/>
      <c r="H7" s="125">
        <f>C34</f>
        <v>2156520.35</v>
      </c>
      <c r="I7" s="168">
        <f>H7*I5</f>
        <v>1523797.2793100001</v>
      </c>
      <c r="J7" s="168">
        <f>H7*J5</f>
        <v>632723.07068999996</v>
      </c>
      <c r="K7" s="168"/>
      <c r="L7" s="168"/>
      <c r="M7" s="387"/>
    </row>
    <row r="8" spans="1:13">
      <c r="A8" s="386" t="s">
        <v>89</v>
      </c>
      <c r="C8" s="314">
        <v>272570.3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>
      <c r="A9" s="387" t="s">
        <v>90</v>
      </c>
      <c r="C9" s="314">
        <v>8344.19</v>
      </c>
      <c r="D9" s="36"/>
      <c r="F9" s="167" t="s">
        <v>119</v>
      </c>
      <c r="G9" s="387"/>
      <c r="H9" s="168">
        <f>C55</f>
        <v>7032232.5000000019</v>
      </c>
      <c r="I9" s="168"/>
      <c r="J9" s="168"/>
      <c r="K9" s="168">
        <f>H9*K5</f>
        <v>4856459.7645000014</v>
      </c>
      <c r="L9" s="168">
        <f>H9*L5</f>
        <v>2175772.7355000004</v>
      </c>
      <c r="M9" s="387"/>
    </row>
    <row r="10" spans="1:13">
      <c r="A10" s="49" t="s">
        <v>91</v>
      </c>
      <c r="C10" s="315">
        <v>-3686.61</v>
      </c>
      <c r="D10" s="36"/>
      <c r="F10" s="170" t="s">
        <v>44</v>
      </c>
      <c r="G10" s="387"/>
      <c r="H10" s="168">
        <f>C56</f>
        <v>88056.98</v>
      </c>
      <c r="I10" s="168"/>
      <c r="J10" s="168"/>
      <c r="K10" s="168">
        <f>H10</f>
        <v>88056.98</v>
      </c>
      <c r="L10" s="168"/>
      <c r="M10" s="387"/>
    </row>
    <row r="11" spans="1:13">
      <c r="A11" s="66" t="s">
        <v>145</v>
      </c>
      <c r="C11" s="100">
        <f>SUM(C8:C10)</f>
        <v>277227.88</v>
      </c>
      <c r="D11" s="36"/>
      <c r="F11" s="170" t="s">
        <v>45</v>
      </c>
      <c r="G11" s="387"/>
      <c r="H11" s="171">
        <f>C57</f>
        <v>43675.51</v>
      </c>
      <c r="I11" s="168"/>
      <c r="J11" s="168"/>
      <c r="K11" s="171"/>
      <c r="L11" s="171">
        <f>H11</f>
        <v>43675.51</v>
      </c>
      <c r="M11" s="387"/>
    </row>
    <row r="12" spans="1:13">
      <c r="A12" s="386" t="s">
        <v>165</v>
      </c>
      <c r="C12" s="314">
        <f>208906.77-4885.6</f>
        <v>204021.16999999998</v>
      </c>
      <c r="D12" s="36"/>
      <c r="F12" s="170" t="s">
        <v>138</v>
      </c>
      <c r="G12" s="387"/>
      <c r="H12" s="168">
        <f>H9+H10+H11</f>
        <v>7163964.9900000021</v>
      </c>
      <c r="I12" s="168"/>
      <c r="J12" s="168"/>
      <c r="K12" s="168">
        <f>SUM(K9:K11)</f>
        <v>4944516.7445000019</v>
      </c>
      <c r="L12" s="168">
        <f>SUM(L9:L11)</f>
        <v>2219448.2455000002</v>
      </c>
      <c r="M12" s="387"/>
    </row>
    <row r="13" spans="1:13" ht="16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" thickBot="1">
      <c r="A14" s="66" t="s">
        <v>92</v>
      </c>
      <c r="C14" s="100">
        <f>SUM(C12:C13)</f>
        <v>204021.16999999998</v>
      </c>
      <c r="D14" s="37"/>
      <c r="F14" s="50" t="s">
        <v>69</v>
      </c>
      <c r="G14" s="176"/>
      <c r="H14" s="125">
        <f>H12+H7</f>
        <v>9320485.3400000017</v>
      </c>
      <c r="I14" s="177">
        <f>SUM(I7:I13)</f>
        <v>1523797.2793100001</v>
      </c>
      <c r="J14" s="177">
        <f>SUM(J7:J13)</f>
        <v>632723.07068999996</v>
      </c>
      <c r="K14" s="177">
        <f>K12</f>
        <v>4944516.7445000019</v>
      </c>
      <c r="L14" s="177">
        <f>L12</f>
        <v>2219448.2455000002</v>
      </c>
      <c r="M14" s="387"/>
    </row>
    <row r="15" spans="1:13">
      <c r="A15" s="386" t="s">
        <v>184</v>
      </c>
      <c r="C15" s="314">
        <f>393697.37-9208.02</f>
        <v>384489.35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4" ht="16" thickBot="1">
      <c r="A17" s="66" t="s">
        <v>186</v>
      </c>
      <c r="C17" s="100">
        <f>SUM(C15:C16)</f>
        <v>384489.35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4" ht="16" thickBot="1">
      <c r="A18" s="386" t="s">
        <v>163</v>
      </c>
      <c r="C18" s="314">
        <f>62705.04+6089.58-1426.95</f>
        <v>67367.67</v>
      </c>
      <c r="D18" s="36"/>
      <c r="F18" s="704" t="s">
        <v>134</v>
      </c>
      <c r="G18" s="705"/>
      <c r="H18" s="705"/>
      <c r="I18" s="706"/>
      <c r="J18" s="704" t="s">
        <v>135</v>
      </c>
      <c r="K18" s="705"/>
      <c r="L18" s="705"/>
      <c r="M18" s="706"/>
    </row>
    <row r="19" spans="1:14">
      <c r="A19" s="46" t="s">
        <v>164</v>
      </c>
      <c r="C19" s="315">
        <v>10461.73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4" ht="16" thickBot="1">
      <c r="A20" s="67" t="s">
        <v>93</v>
      </c>
      <c r="C20" s="100">
        <f>SUM(C18:C19)</f>
        <v>77829.399999999994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4">
      <c r="A21" s="46" t="s">
        <v>149</v>
      </c>
      <c r="C21" s="315">
        <f>670.05-519.67</f>
        <v>150.38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4" ht="18" customHeight="1">
      <c r="A22" s="65" t="s">
        <v>149</v>
      </c>
      <c r="C22" s="100">
        <f>SUM(C21)</f>
        <v>150.38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4">
      <c r="A23" s="209" t="s">
        <v>181</v>
      </c>
      <c r="C23" s="100">
        <v>0</v>
      </c>
      <c r="D23" s="36"/>
      <c r="F23" s="201" t="s">
        <v>37</v>
      </c>
      <c r="G23" s="264">
        <v>15375028</v>
      </c>
      <c r="H23" s="391" t="s">
        <v>353</v>
      </c>
      <c r="I23" s="197">
        <v>2062610</v>
      </c>
      <c r="J23" s="201" t="s">
        <v>37</v>
      </c>
      <c r="K23" s="264">
        <v>7248071</v>
      </c>
      <c r="L23" s="391" t="s">
        <v>353</v>
      </c>
      <c r="M23" s="197">
        <v>868774</v>
      </c>
    </row>
    <row r="24" spans="1:14">
      <c r="A24" s="209" t="s">
        <v>187</v>
      </c>
      <c r="C24" s="314">
        <v>0</v>
      </c>
      <c r="D24" s="36"/>
      <c r="F24" s="201" t="s">
        <v>351</v>
      </c>
      <c r="G24" s="264">
        <v>3502</v>
      </c>
      <c r="H24" s="391" t="s">
        <v>353</v>
      </c>
      <c r="I24" s="197">
        <v>500</v>
      </c>
      <c r="J24" s="201" t="s">
        <v>38</v>
      </c>
      <c r="K24" s="264">
        <v>2379775</v>
      </c>
      <c r="L24" s="391" t="s">
        <v>353</v>
      </c>
      <c r="M24" s="197">
        <v>293797</v>
      </c>
    </row>
    <row r="25" spans="1:14">
      <c r="A25" s="209" t="s">
        <v>190</v>
      </c>
      <c r="C25" s="316">
        <v>0</v>
      </c>
      <c r="D25" s="36"/>
      <c r="F25" s="201" t="s">
        <v>38</v>
      </c>
      <c r="G25" s="264">
        <v>5503520</v>
      </c>
      <c r="H25" s="391" t="s">
        <v>353</v>
      </c>
      <c r="I25" s="197">
        <v>697631</v>
      </c>
      <c r="J25" s="201" t="s">
        <v>39</v>
      </c>
      <c r="K25" s="264">
        <v>23496</v>
      </c>
      <c r="L25" s="391" t="s">
        <v>353</v>
      </c>
      <c r="M25" s="197">
        <v>2941</v>
      </c>
    </row>
    <row r="26" spans="1:14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 t="s">
        <v>353</v>
      </c>
      <c r="I26" s="197">
        <v>0</v>
      </c>
      <c r="J26" s="201" t="s">
        <v>40</v>
      </c>
      <c r="K26" s="264">
        <v>0</v>
      </c>
      <c r="L26" s="391" t="s">
        <v>353</v>
      </c>
      <c r="M26" s="197">
        <v>0</v>
      </c>
    </row>
    <row r="27" spans="1:14">
      <c r="A27" s="65" t="s">
        <v>96</v>
      </c>
      <c r="C27" s="100">
        <f>SUM(C23:C26)</f>
        <v>0</v>
      </c>
      <c r="D27" s="36"/>
      <c r="F27" s="201" t="s">
        <v>40</v>
      </c>
      <c r="G27" s="264">
        <v>541377</v>
      </c>
      <c r="H27" s="391" t="s">
        <v>353</v>
      </c>
      <c r="I27" s="197">
        <v>65034</v>
      </c>
      <c r="J27" s="201" t="s">
        <v>41</v>
      </c>
      <c r="K27" s="264">
        <v>0</v>
      </c>
      <c r="L27" s="391" t="s">
        <v>353</v>
      </c>
      <c r="M27" s="197">
        <f t="shared" ref="M27" si="0">K27*L27</f>
        <v>0</v>
      </c>
    </row>
    <row r="28" spans="1:14" ht="16" thickBot="1">
      <c r="A28" s="211" t="s">
        <v>150</v>
      </c>
      <c r="C28" s="314">
        <v>0</v>
      </c>
      <c r="D28" s="37"/>
      <c r="F28" s="201" t="s">
        <v>41</v>
      </c>
      <c r="G28" s="264">
        <v>47656</v>
      </c>
      <c r="H28" s="391" t="s">
        <v>353</v>
      </c>
      <c r="I28" s="197">
        <v>6193</v>
      </c>
      <c r="J28" s="200" t="s">
        <v>127</v>
      </c>
      <c r="K28" s="182">
        <f>SUM(K23:K27)</f>
        <v>9651342</v>
      </c>
      <c r="L28" s="183"/>
      <c r="M28" s="198">
        <f>SUM(M23:M27)</f>
        <v>1165512</v>
      </c>
      <c r="N28" s="386">
        <f>M28/(M28+I32)</f>
        <v>0.29102818412268455</v>
      </c>
    </row>
    <row r="29" spans="1:14" ht="16.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 t="s">
        <v>353</v>
      </c>
      <c r="I29" s="197">
        <v>0</v>
      </c>
      <c r="J29" s="200"/>
      <c r="K29" s="232">
        <v>9651342</v>
      </c>
      <c r="L29" s="188" t="s">
        <v>102</v>
      </c>
      <c r="M29" s="197">
        <f>M28/K28</f>
        <v>0.12076165159207911</v>
      </c>
    </row>
    <row r="30" spans="1:14" ht="16" thickBot="1">
      <c r="A30" s="2" t="s">
        <v>111</v>
      </c>
      <c r="C30" s="125">
        <f>C7+C11+C14+C17+C20+C22+C27+C28+C29</f>
        <v>2284629.81</v>
      </c>
      <c r="D30" s="37"/>
      <c r="F30" s="201" t="s">
        <v>43</v>
      </c>
      <c r="G30" s="264">
        <v>74781</v>
      </c>
      <c r="H30" s="391" t="s">
        <v>353</v>
      </c>
      <c r="I30" s="197">
        <v>6149</v>
      </c>
      <c r="J30" s="201"/>
      <c r="K30" s="231">
        <f>K28-K29</f>
        <v>0</v>
      </c>
      <c r="L30" s="183"/>
      <c r="M30" s="199"/>
    </row>
    <row r="31" spans="1:14">
      <c r="A31" s="386" t="s">
        <v>112</v>
      </c>
      <c r="C31" s="314">
        <v>-8945.7999999999993</v>
      </c>
      <c r="D31" s="39"/>
      <c r="F31" s="201" t="s">
        <v>74</v>
      </c>
      <c r="G31" s="264">
        <v>3020174</v>
      </c>
      <c r="H31" s="391" t="s">
        <v>353</v>
      </c>
      <c r="I31" s="197">
        <v>1179</v>
      </c>
      <c r="J31" s="153"/>
      <c r="K31" s="7"/>
      <c r="L31" s="183"/>
      <c r="M31" s="199"/>
    </row>
    <row r="32" spans="1:14" ht="16" thickBot="1">
      <c r="A32" s="2" t="s">
        <v>116</v>
      </c>
      <c r="B32" s="2" t="s">
        <v>117</v>
      </c>
      <c r="C32" s="240">
        <f>C30+C31</f>
        <v>2275684.0100000002</v>
      </c>
      <c r="D32" s="40"/>
      <c r="F32" s="200" t="s">
        <v>127</v>
      </c>
      <c r="G32" s="182">
        <f>SUM(G23:G31)</f>
        <v>24566038</v>
      </c>
      <c r="H32" s="7"/>
      <c r="I32" s="198">
        <f>SUM(I23:I31)</f>
        <v>2839296</v>
      </c>
      <c r="J32" s="193"/>
      <c r="K32" s="194"/>
      <c r="L32" s="7"/>
      <c r="M32" s="191"/>
    </row>
    <row r="33" spans="1:17" ht="16.5" thickTop="1" thickBot="1">
      <c r="A33" s="386" t="s">
        <v>113</v>
      </c>
      <c r="C33" s="313">
        <f>-C5-C9-C13-C16-C19</f>
        <v>-119163.66</v>
      </c>
      <c r="D33" s="36"/>
      <c r="F33" s="187"/>
      <c r="G33" s="232">
        <v>24566038</v>
      </c>
      <c r="H33" s="188" t="s">
        <v>102</v>
      </c>
      <c r="I33" s="217">
        <f>I32/G32</f>
        <v>0.1155781001397132</v>
      </c>
      <c r="J33" s="193"/>
      <c r="K33" s="194"/>
      <c r="L33" s="7"/>
      <c r="M33" s="98"/>
    </row>
    <row r="34" spans="1:17" ht="16" thickBot="1">
      <c r="A34" s="2" t="s">
        <v>114</v>
      </c>
      <c r="C34" s="125">
        <f>SUM(C32:C33)</f>
        <v>2156520.35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702"/>
      <c r="L35" s="702"/>
      <c r="M35" s="703"/>
    </row>
    <row r="36" spans="1:17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7248071</v>
      </c>
      <c r="L36" s="391" t="s">
        <v>353</v>
      </c>
      <c r="M36" s="197">
        <v>1775737</v>
      </c>
      <c r="P36" s="275"/>
      <c r="Q36" s="275"/>
    </row>
    <row r="37" spans="1:17">
      <c r="A37" s="7" t="s">
        <v>129</v>
      </c>
      <c r="B37" s="540" t="s">
        <v>115</v>
      </c>
      <c r="C37" s="122">
        <v>10038773.17</v>
      </c>
      <c r="D37" s="36"/>
      <c r="F37" s="201" t="s">
        <v>37</v>
      </c>
      <c r="G37" s="265">
        <f>G23</f>
        <v>15375028</v>
      </c>
      <c r="H37" s="391" t="s">
        <v>353</v>
      </c>
      <c r="I37" s="197">
        <v>3786902</v>
      </c>
      <c r="J37" s="201" t="s">
        <v>38</v>
      </c>
      <c r="K37" s="265">
        <f>K24</f>
        <v>2379775</v>
      </c>
      <c r="L37" s="391" t="s">
        <v>353</v>
      </c>
      <c r="M37" s="197">
        <v>542775</v>
      </c>
      <c r="P37" s="275"/>
      <c r="Q37" s="275"/>
    </row>
    <row r="38" spans="1:17">
      <c r="A38" s="144" t="s">
        <v>14</v>
      </c>
      <c r="B38" s="540" t="s">
        <v>115</v>
      </c>
      <c r="C38" s="122">
        <v>0</v>
      </c>
      <c r="D38" s="36"/>
      <c r="F38" s="201" t="s">
        <v>351</v>
      </c>
      <c r="G38" s="265">
        <f>G24</f>
        <v>3502</v>
      </c>
      <c r="H38" s="391" t="s">
        <v>353</v>
      </c>
      <c r="I38" s="197">
        <v>1032</v>
      </c>
      <c r="J38" s="201" t="s">
        <v>39</v>
      </c>
      <c r="K38" s="265">
        <f>K25</f>
        <v>23496</v>
      </c>
      <c r="L38" s="391" t="s">
        <v>353</v>
      </c>
      <c r="M38" s="197">
        <v>6781</v>
      </c>
      <c r="P38" s="275"/>
      <c r="Q38" s="275"/>
    </row>
    <row r="39" spans="1:17">
      <c r="A39" s="7" t="s">
        <v>146</v>
      </c>
      <c r="B39" s="540" t="s">
        <v>147</v>
      </c>
      <c r="C39" s="122">
        <v>-26420.37</v>
      </c>
      <c r="D39" s="36"/>
      <c r="F39" s="201" t="s">
        <v>38</v>
      </c>
      <c r="G39" s="265">
        <f t="shared" ref="G39:G44" si="1">G25</f>
        <v>5503520</v>
      </c>
      <c r="H39" s="391" t="s">
        <v>353</v>
      </c>
      <c r="I39" s="197">
        <v>1301339</v>
      </c>
      <c r="J39" s="201" t="s">
        <v>40</v>
      </c>
      <c r="K39" s="265">
        <f>K26</f>
        <v>0</v>
      </c>
      <c r="L39" s="391" t="s">
        <v>353</v>
      </c>
      <c r="M39" s="197">
        <v>0</v>
      </c>
      <c r="P39" s="275"/>
      <c r="Q39" s="275"/>
    </row>
    <row r="40" spans="1:17">
      <c r="A40" s="7" t="s">
        <v>131</v>
      </c>
      <c r="B40" s="540" t="s">
        <v>132</v>
      </c>
      <c r="C40" s="122">
        <v>1155503.25</v>
      </c>
      <c r="D40" s="36"/>
      <c r="F40" s="201" t="s">
        <v>39</v>
      </c>
      <c r="G40" s="265">
        <f t="shared" si="1"/>
        <v>0</v>
      </c>
      <c r="H40" s="391" t="s">
        <v>353</v>
      </c>
      <c r="I40" s="197">
        <v>0</v>
      </c>
      <c r="J40" s="201" t="s">
        <v>41</v>
      </c>
      <c r="K40" s="265">
        <f>K27</f>
        <v>0</v>
      </c>
      <c r="L40" s="391" t="s">
        <v>353</v>
      </c>
      <c r="M40" s="197">
        <v>0</v>
      </c>
      <c r="P40" s="275"/>
      <c r="Q40" s="275"/>
    </row>
    <row r="41" spans="1:17">
      <c r="A41" s="7" t="s">
        <v>153</v>
      </c>
      <c r="B41" s="6" t="s">
        <v>155</v>
      </c>
      <c r="C41" s="122">
        <v>26450.799999999999</v>
      </c>
      <c r="D41" s="36"/>
      <c r="F41" s="201" t="s">
        <v>40</v>
      </c>
      <c r="G41" s="265">
        <f t="shared" si="1"/>
        <v>541377</v>
      </c>
      <c r="H41" s="391" t="s">
        <v>353</v>
      </c>
      <c r="I41" s="197">
        <v>113610</v>
      </c>
      <c r="J41" s="201" t="s">
        <v>42</v>
      </c>
      <c r="K41" s="264">
        <v>0</v>
      </c>
      <c r="L41" s="391" t="s">
        <v>353</v>
      </c>
      <c r="M41" s="197">
        <v>0</v>
      </c>
      <c r="P41" s="275"/>
      <c r="Q41" s="275"/>
    </row>
    <row r="42" spans="1:17" ht="16" thickBot="1">
      <c r="A42" s="7" t="s">
        <v>179</v>
      </c>
      <c r="B42" s="540" t="s">
        <v>180</v>
      </c>
      <c r="C42" s="122">
        <v>485602.32</v>
      </c>
      <c r="D42" s="37"/>
      <c r="F42" s="201" t="s">
        <v>41</v>
      </c>
      <c r="G42" s="265">
        <f t="shared" si="1"/>
        <v>47656</v>
      </c>
      <c r="H42" s="391" t="s">
        <v>353</v>
      </c>
      <c r="I42" s="197">
        <v>14929</v>
      </c>
      <c r="J42" s="201" t="s">
        <v>43</v>
      </c>
      <c r="K42" s="266">
        <v>0</v>
      </c>
      <c r="L42" s="391" t="s">
        <v>353</v>
      </c>
      <c r="M42" s="197">
        <v>0</v>
      </c>
      <c r="P42" s="275"/>
      <c r="Q42" s="275"/>
    </row>
    <row r="43" spans="1:17" ht="16" thickBot="1">
      <c r="A43" s="85" t="s">
        <v>123</v>
      </c>
      <c r="B43" s="12"/>
      <c r="C43" s="125">
        <f>SUM(C37:C42)</f>
        <v>11679909.170000002</v>
      </c>
      <c r="D43" s="36"/>
      <c r="F43" s="201" t="s">
        <v>42</v>
      </c>
      <c r="G43" s="265">
        <f t="shared" si="1"/>
        <v>0</v>
      </c>
      <c r="H43" s="391" t="s">
        <v>353</v>
      </c>
      <c r="I43" s="197">
        <v>0</v>
      </c>
      <c r="J43" s="200" t="s">
        <v>133</v>
      </c>
      <c r="K43" s="182">
        <f>SUM(K36:K42)</f>
        <v>9651342</v>
      </c>
      <c r="L43" s="183"/>
      <c r="M43" s="198">
        <f>SUM(M36:M42)</f>
        <v>2325293</v>
      </c>
      <c r="N43" s="386">
        <f>M43/(M43+I45)</f>
        <v>0.3073846973435394</v>
      </c>
    </row>
    <row r="44" spans="1:17" ht="16" thickBot="1">
      <c r="A44" s="83" t="s">
        <v>178</v>
      </c>
      <c r="B44" s="84" t="s">
        <v>120</v>
      </c>
      <c r="C44" s="122">
        <f>3409989.5-44089.54</f>
        <v>3365899.96</v>
      </c>
      <c r="D44" s="37"/>
      <c r="F44" s="201" t="s">
        <v>43</v>
      </c>
      <c r="G44" s="265">
        <f t="shared" si="1"/>
        <v>74781</v>
      </c>
      <c r="H44" s="391" t="s">
        <v>353</v>
      </c>
      <c r="I44" s="197">
        <v>21660</v>
      </c>
      <c r="J44" s="195"/>
      <c r="K44" s="233">
        <v>9651342</v>
      </c>
      <c r="L44" s="190" t="s">
        <v>102</v>
      </c>
      <c r="M44" s="218">
        <f>M43/K43</f>
        <v>0.24092949975246966</v>
      </c>
    </row>
    <row r="45" spans="1:17" ht="16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21545864</v>
      </c>
      <c r="H45" s="183"/>
      <c r="I45" s="198">
        <f>SUM(I37:I44)</f>
        <v>5239472</v>
      </c>
      <c r="J45" s="124"/>
      <c r="K45" s="231">
        <f>K43-K44</f>
        <v>0</v>
      </c>
      <c r="L45" s="387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21545864</v>
      </c>
      <c r="H46" s="190" t="s">
        <v>102</v>
      </c>
      <c r="I46" s="216">
        <f>I45/G45</f>
        <v>0.24317762332482931</v>
      </c>
      <c r="J46" s="124"/>
      <c r="K46" s="231"/>
      <c r="L46" s="387"/>
      <c r="M46" s="124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" thickBot="1">
      <c r="A48" s="144" t="s">
        <v>348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>
      <c r="A49" s="7" t="s">
        <v>130</v>
      </c>
      <c r="B49" s="540" t="s">
        <v>152</v>
      </c>
      <c r="C49" s="122">
        <v>31384.43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" thickBot="1">
      <c r="A50" s="7" t="s">
        <v>175</v>
      </c>
      <c r="B50" s="540" t="s">
        <v>152</v>
      </c>
      <c r="C50" s="122">
        <v>1996.11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>
      <c r="A51" s="7" t="s">
        <v>224</v>
      </c>
      <c r="B51" s="540" t="s">
        <v>152</v>
      </c>
      <c r="C51" s="122">
        <v>3227.92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>
      <c r="A52" s="22" t="s">
        <v>118</v>
      </c>
      <c r="B52" s="6"/>
      <c r="C52" s="695">
        <f>-C33</f>
        <v>119163.66</v>
      </c>
      <c r="D52" s="33"/>
      <c r="F52" s="387" t="s">
        <v>136</v>
      </c>
      <c r="G52" s="387"/>
      <c r="H52" s="213">
        <f>K12</f>
        <v>4944516.7445000019</v>
      </c>
      <c r="I52" s="115">
        <f>I14</f>
        <v>1523797.2793100001</v>
      </c>
      <c r="J52" s="115">
        <f>L12</f>
        <v>2219448.2455000002</v>
      </c>
      <c r="K52" s="115">
        <f>J14</f>
        <v>632723.07068999996</v>
      </c>
      <c r="L52" s="132">
        <f>SUM(H52:K52)</f>
        <v>9320485.3400000017</v>
      </c>
      <c r="M52" s="387"/>
    </row>
    <row r="53" spans="1:21" ht="16" thickBot="1">
      <c r="A53" s="384" t="s">
        <v>124</v>
      </c>
      <c r="B53" s="475" t="s">
        <v>316</v>
      </c>
      <c r="C53" s="314">
        <f>-709425-3540145.25-3549778.5</f>
        <v>-7799348.75</v>
      </c>
      <c r="D53" s="36"/>
      <c r="F53" s="386" t="s">
        <v>109</v>
      </c>
      <c r="H53" s="213">
        <f>-I45</f>
        <v>-5239472</v>
      </c>
      <c r="I53" s="115">
        <f>-I32</f>
        <v>-2839296</v>
      </c>
      <c r="J53" s="115">
        <f>-M43</f>
        <v>-2325293</v>
      </c>
      <c r="K53" s="115">
        <f>-M28</f>
        <v>-1165512</v>
      </c>
      <c r="L53" s="263">
        <f>SUM(H53:K53)</f>
        <v>-11569573</v>
      </c>
    </row>
    <row r="54" spans="1:21" ht="16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-2249087.6599999983</v>
      </c>
    </row>
    <row r="55" spans="1:21" ht="16" thickBot="1">
      <c r="A55" s="82" t="s">
        <v>119</v>
      </c>
      <c r="B55" s="84"/>
      <c r="C55" s="160">
        <f>SUM(C43:C54)</f>
        <v>7032232.5000000019</v>
      </c>
      <c r="D55" s="36"/>
      <c r="F55" s="386" t="s">
        <v>71</v>
      </c>
      <c r="H55" s="125">
        <f>IFERROR(H52+H53+H54,0)</f>
        <v>-294955.25549999811</v>
      </c>
      <c r="I55" s="125">
        <f>I52+I53+I54</f>
        <v>-1315498.7206899999</v>
      </c>
      <c r="J55" s="125">
        <f>IFERROR(J52+J53+J54,0)</f>
        <v>-105844.75449999981</v>
      </c>
      <c r="K55" s="125">
        <f>K52+K53+K54</f>
        <v>-532788.92931000004</v>
      </c>
      <c r="L55" s="47">
        <f>SUM(H55:K55)</f>
        <v>-2249087.6599999978</v>
      </c>
    </row>
    <row r="56" spans="1:21" ht="16.5" thickTop="1" thickBot="1">
      <c r="A56" s="386" t="s">
        <v>121</v>
      </c>
      <c r="B56" s="6" t="s">
        <v>115</v>
      </c>
      <c r="C56" s="122">
        <v>88056.98</v>
      </c>
      <c r="D56" s="36"/>
      <c r="F56" s="241" t="s">
        <v>182</v>
      </c>
      <c r="H56" s="386" t="s">
        <v>173</v>
      </c>
      <c r="I56" s="5">
        <f>SUM(H55:I55)</f>
        <v>-1610453.976189998</v>
      </c>
      <c r="J56" s="15" t="s">
        <v>174</v>
      </c>
      <c r="K56" s="386">
        <f>SUM(J55:K55)</f>
        <v>-638633.68380999984</v>
      </c>
      <c r="L56" s="214">
        <f>ROUND(L54-L55,3)</f>
        <v>0</v>
      </c>
      <c r="T56" s="42"/>
    </row>
    <row r="57" spans="1:21" ht="16" thickTop="1">
      <c r="A57" s="386" t="s">
        <v>122</v>
      </c>
      <c r="B57" s="6" t="s">
        <v>115</v>
      </c>
      <c r="C57" s="122">
        <v>43675.51</v>
      </c>
      <c r="D57" s="36"/>
      <c r="F57" s="399" t="s">
        <v>182</v>
      </c>
      <c r="H57" s="96"/>
    </row>
    <row r="58" spans="1:21" ht="16" thickBot="1">
      <c r="A58" s="2" t="s">
        <v>125</v>
      </c>
      <c r="B58" s="2"/>
      <c r="C58" s="160">
        <f>SUM(C55:C57)</f>
        <v>7163964.9900000021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5" thickTop="1" thickBot="1">
      <c r="A59" s="2"/>
      <c r="C59" s="101"/>
      <c r="D59" s="36"/>
      <c r="F59" s="551" t="s">
        <v>323</v>
      </c>
      <c r="G59" s="553"/>
      <c r="H59" s="388" t="s">
        <v>314</v>
      </c>
      <c r="I59" s="389"/>
    </row>
    <row r="60" spans="1:21" ht="16" thickBot="1">
      <c r="A60" s="9"/>
      <c r="B60" s="9" t="s">
        <v>95</v>
      </c>
      <c r="C60" s="125">
        <f>C58+C34</f>
        <v>9320485.3400000017</v>
      </c>
      <c r="D60" s="36"/>
      <c r="H60" s="320" t="s">
        <v>176</v>
      </c>
      <c r="I60" s="321" t="s">
        <v>177</v>
      </c>
      <c r="J60" s="5"/>
    </row>
    <row r="61" spans="1:21" ht="16" thickBot="1">
      <c r="A61" s="2"/>
      <c r="B61" s="9" t="s">
        <v>160</v>
      </c>
      <c r="C61" s="352">
        <v>9320485.3399999999</v>
      </c>
      <c r="D61" s="37"/>
      <c r="H61" s="351">
        <f>SUM('WA - Def-Amtz'!AL5:AL10,'WA - Def-Amtz'!AL41:AL46,'WA - Def-Amtz'!AL76:AL79,'ID - Def-Amtz '!AL5:AL10,'ID - Def-Amtz '!AL42:AL47,'ID - Def-Amtz '!AL75:AL80)</f>
        <v>7890436.3542569289</v>
      </c>
      <c r="I61" s="451">
        <f>SUM('WA - Def-Amtz'!AM5:AM10,'WA - Def-Amtz'!AM41:AM46,'WA - Def-Amtz'!AM76:AM79,'ID - Def-Amtz '!AM5:AM10,'ID - Def-Amtz '!AM42:AM47,'ID - Def-Amtz '!AM75:AM80)</f>
        <v>7890436.3542569289</v>
      </c>
      <c r="J61" s="386">
        <f>H53+I53+J53+K53</f>
        <v>-11569573</v>
      </c>
    </row>
    <row r="62" spans="1:21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>
      <c r="A63" s="44"/>
      <c r="C63" s="353"/>
      <c r="D63" s="36"/>
      <c r="S63" s="6"/>
    </row>
    <row r="64" spans="1:21">
      <c r="A64" s="44"/>
      <c r="C64" s="8"/>
      <c r="D64" s="43"/>
      <c r="N64" s="22"/>
      <c r="U64" s="2"/>
    </row>
    <row r="65" spans="1:21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L56 I62 C62">
    <cfRule type="cellIs" dxfId="694" priority="7" stopIfTrue="1" operator="equal">
      <formula>0</formula>
    </cfRule>
    <cfRule type="cellIs" dxfId="693" priority="8" stopIfTrue="1" operator="notEqual">
      <formula>0</formula>
    </cfRule>
  </conditionalFormatting>
  <conditionalFormatting sqref="G34 G47 K30 K45:K47">
    <cfRule type="cellIs" dxfId="692" priority="6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7">
    <pageSetUpPr fitToPage="1"/>
  </sheetPr>
  <dimension ref="A1:U1484"/>
  <sheetViews>
    <sheetView showGridLines="0" zoomScale="85" zoomScaleNormal="85" workbookViewId="0">
      <selection activeCell="C33" sqref="C33"/>
    </sheetView>
  </sheetViews>
  <sheetFormatPr defaultColWidth="16" defaultRowHeight="15.5"/>
  <cols>
    <col min="1" max="1" width="44.8984375" style="386" customWidth="1"/>
    <col min="2" max="2" width="25.59765625" style="386" customWidth="1"/>
    <col min="3" max="3" width="25.296875" style="386" customWidth="1"/>
    <col min="4" max="4" width="2.69921875" style="30" customWidth="1"/>
    <col min="5" max="5" width="4.296875" style="386" customWidth="1"/>
    <col min="6" max="6" width="26.69921875" style="386" customWidth="1"/>
    <col min="7" max="7" width="19" style="386" customWidth="1"/>
    <col min="8" max="8" width="22" style="386" customWidth="1"/>
    <col min="9" max="9" width="20.3984375" style="386" customWidth="1"/>
    <col min="10" max="10" width="26.296875" style="386" customWidth="1"/>
    <col min="11" max="11" width="21.8984375" style="386" bestFit="1" customWidth="1"/>
    <col min="12" max="12" width="23.8984375" style="386" customWidth="1"/>
    <col min="13" max="13" width="20.8984375" style="386" bestFit="1" customWidth="1"/>
    <col min="14" max="15" width="16" style="386"/>
    <col min="16" max="16" width="16.296875" style="386" bestFit="1" customWidth="1"/>
    <col min="17" max="16384" width="16" style="386"/>
  </cols>
  <sheetData>
    <row r="1" spans="1:13" ht="16" thickBot="1">
      <c r="A1" s="145" t="s">
        <v>64</v>
      </c>
      <c r="B1" s="29"/>
      <c r="C1" s="534">
        <f>Nov!C1+1</f>
        <v>201512</v>
      </c>
      <c r="F1" s="534">
        <f>C1</f>
        <v>201512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>
      <c r="A4" s="387" t="s">
        <v>88</v>
      </c>
      <c r="C4" s="314"/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/>
      <c r="D5" s="34"/>
      <c r="F5" s="387"/>
      <c r="G5" s="387"/>
      <c r="H5" s="11"/>
      <c r="I5" s="166">
        <v>0.70660000000000001</v>
      </c>
      <c r="J5" s="166">
        <v>0.29339999999999999</v>
      </c>
      <c r="K5" s="447" t="e">
        <f>ROUND(G43/(G43+K43),4)</f>
        <v>#DIV/0!</v>
      </c>
      <c r="L5" s="447" t="e">
        <f>1-K5</f>
        <v>#DIV/0!</v>
      </c>
      <c r="M5" s="387"/>
    </row>
    <row r="6" spans="1:13" ht="16" thickBot="1">
      <c r="A6" s="49" t="s">
        <v>30</v>
      </c>
      <c r="C6" s="315"/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" thickBot="1">
      <c r="A7" s="66" t="s">
        <v>140</v>
      </c>
      <c r="C7" s="100">
        <f>SUM(C4:C6)</f>
        <v>0</v>
      </c>
      <c r="D7" s="35"/>
      <c r="F7" s="167" t="s">
        <v>139</v>
      </c>
      <c r="G7" s="167"/>
      <c r="H7" s="125">
        <f>C34</f>
        <v>0</v>
      </c>
      <c r="I7" s="168">
        <f>H7*I5</f>
        <v>0</v>
      </c>
      <c r="J7" s="168">
        <f>H7*J5</f>
        <v>0</v>
      </c>
      <c r="K7" s="168"/>
      <c r="L7" s="168"/>
      <c r="M7" s="387"/>
    </row>
    <row r="8" spans="1:13">
      <c r="A8" s="386" t="s">
        <v>89</v>
      </c>
      <c r="C8" s="314"/>
      <c r="D8" s="35"/>
      <c r="F8" s="387"/>
      <c r="G8" s="387"/>
      <c r="H8" s="169"/>
      <c r="I8" s="169"/>
      <c r="J8" s="169"/>
      <c r="K8" s="169"/>
      <c r="L8" s="169"/>
      <c r="M8" s="387"/>
    </row>
    <row r="9" spans="1:13">
      <c r="A9" s="387" t="s">
        <v>90</v>
      </c>
      <c r="C9" s="314"/>
      <c r="D9" s="36"/>
      <c r="F9" s="167" t="s">
        <v>119</v>
      </c>
      <c r="G9" s="387"/>
      <c r="H9" s="168">
        <f>C55</f>
        <v>0</v>
      </c>
      <c r="I9" s="168"/>
      <c r="J9" s="168"/>
      <c r="K9" s="168" t="e">
        <f>H9*K5</f>
        <v>#DIV/0!</v>
      </c>
      <c r="L9" s="168" t="e">
        <f>H9*L5</f>
        <v>#DIV/0!</v>
      </c>
      <c r="M9" s="387"/>
    </row>
    <row r="10" spans="1:13">
      <c r="A10" s="49" t="s">
        <v>91</v>
      </c>
      <c r="C10" s="315"/>
      <c r="D10" s="36"/>
      <c r="F10" s="170" t="s">
        <v>44</v>
      </c>
      <c r="G10" s="387"/>
      <c r="H10" s="168">
        <f>C56</f>
        <v>0</v>
      </c>
      <c r="I10" s="168"/>
      <c r="J10" s="168"/>
      <c r="K10" s="168">
        <f>H10</f>
        <v>0</v>
      </c>
      <c r="L10" s="168"/>
      <c r="M10" s="387"/>
    </row>
    <row r="11" spans="1:13">
      <c r="A11" s="66" t="s">
        <v>145</v>
      </c>
      <c r="C11" s="100">
        <f>SUM(C8:C10)</f>
        <v>0</v>
      </c>
      <c r="D11" s="36"/>
      <c r="F11" s="170" t="s">
        <v>45</v>
      </c>
      <c r="G11" s="387"/>
      <c r="H11" s="171">
        <f>C57</f>
        <v>0</v>
      </c>
      <c r="I11" s="168"/>
      <c r="J11" s="168"/>
      <c r="K11" s="171"/>
      <c r="L11" s="171">
        <f>H11</f>
        <v>0</v>
      </c>
      <c r="M11" s="387"/>
    </row>
    <row r="12" spans="1:13">
      <c r="A12" s="386" t="s">
        <v>165</v>
      </c>
      <c r="C12" s="314"/>
      <c r="D12" s="36"/>
      <c r="F12" s="170" t="s">
        <v>138</v>
      </c>
      <c r="G12" s="387"/>
      <c r="H12" s="168">
        <f>H9+H10+H11</f>
        <v>0</v>
      </c>
      <c r="I12" s="168"/>
      <c r="J12" s="168"/>
      <c r="K12" s="168" t="e">
        <f>SUM(K9:K11)</f>
        <v>#DIV/0!</v>
      </c>
      <c r="L12" s="168" t="e">
        <f>SUM(L9:L11)</f>
        <v>#DIV/0!</v>
      </c>
      <c r="M12" s="387"/>
    </row>
    <row r="13" spans="1:13" ht="16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" thickBot="1">
      <c r="A14" s="66" t="s">
        <v>92</v>
      </c>
      <c r="C14" s="100">
        <f>SUM(C12:C13)</f>
        <v>0</v>
      </c>
      <c r="D14" s="37"/>
      <c r="F14" s="50" t="s">
        <v>69</v>
      </c>
      <c r="G14" s="176"/>
      <c r="H14" s="125">
        <f>H12+H7</f>
        <v>0</v>
      </c>
      <c r="I14" s="177">
        <f>SUM(I7:I13)</f>
        <v>0</v>
      </c>
      <c r="J14" s="177">
        <f>SUM(J7:J13)</f>
        <v>0</v>
      </c>
      <c r="K14" s="177" t="e">
        <f>K12</f>
        <v>#DIV/0!</v>
      </c>
      <c r="L14" s="177" t="e">
        <f>L12</f>
        <v>#DIV/0!</v>
      </c>
      <c r="M14" s="387"/>
    </row>
    <row r="15" spans="1:13">
      <c r="A15" s="386" t="s">
        <v>184</v>
      </c>
      <c r="C15" s="314"/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 t="e">
        <f>H12-K14-L14</f>
        <v>#DIV/0!</v>
      </c>
      <c r="M15" s="387"/>
    </row>
    <row r="16" spans="1:1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6" thickBot="1">
      <c r="A17" s="66" t="s">
        <v>186</v>
      </c>
      <c r="C17" s="100">
        <f>SUM(C15:C16)</f>
        <v>0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" thickBot="1">
      <c r="A18" s="386" t="s">
        <v>163</v>
      </c>
      <c r="C18" s="314"/>
      <c r="D18" s="36"/>
      <c r="F18" s="704" t="s">
        <v>134</v>
      </c>
      <c r="G18" s="705"/>
      <c r="H18" s="705"/>
      <c r="I18" s="706"/>
      <c r="J18" s="704" t="s">
        <v>135</v>
      </c>
      <c r="K18" s="705"/>
      <c r="L18" s="705"/>
      <c r="M18" s="706"/>
    </row>
    <row r="19" spans="1:13">
      <c r="A19" s="46" t="s">
        <v>164</v>
      </c>
      <c r="C19" s="315"/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" thickBot="1">
      <c r="A20" s="67" t="s">
        <v>93</v>
      </c>
      <c r="C20" s="100">
        <f>SUM(C18:C19)</f>
        <v>0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>
      <c r="A23" s="209" t="s">
        <v>181</v>
      </c>
      <c r="C23" s="100">
        <v>0</v>
      </c>
      <c r="D23" s="36"/>
      <c r="F23" s="201" t="s">
        <v>37</v>
      </c>
      <c r="G23" s="264"/>
      <c r="H23" s="391" t="s">
        <v>328</v>
      </c>
      <c r="I23" s="197"/>
      <c r="J23" s="201" t="s">
        <v>37</v>
      </c>
      <c r="K23" s="264"/>
      <c r="L23" s="391" t="s">
        <v>328</v>
      </c>
      <c r="M23" s="197"/>
    </row>
    <row r="24" spans="1:13">
      <c r="A24" s="209" t="s">
        <v>187</v>
      </c>
      <c r="C24" s="314">
        <v>0</v>
      </c>
      <c r="D24" s="36"/>
      <c r="F24" s="201" t="s">
        <v>38</v>
      </c>
      <c r="G24" s="264"/>
      <c r="H24" s="391" t="s">
        <v>328</v>
      </c>
      <c r="I24" s="197"/>
      <c r="J24" s="201" t="s">
        <v>38</v>
      </c>
      <c r="K24" s="264"/>
      <c r="L24" s="391" t="s">
        <v>328</v>
      </c>
      <c r="M24" s="197"/>
    </row>
    <row r="25" spans="1:13">
      <c r="A25" s="209" t="s">
        <v>190</v>
      </c>
      <c r="C25" s="316">
        <v>0</v>
      </c>
      <c r="D25" s="36"/>
      <c r="F25" s="201" t="s">
        <v>39</v>
      </c>
      <c r="G25" s="264"/>
      <c r="H25" s="391" t="s">
        <v>328</v>
      </c>
      <c r="I25" s="197"/>
      <c r="J25" s="201" t="s">
        <v>39</v>
      </c>
      <c r="K25" s="264"/>
      <c r="L25" s="391" t="s">
        <v>328</v>
      </c>
      <c r="M25" s="197"/>
    </row>
    <row r="26" spans="1:13">
      <c r="A26" s="210" t="s">
        <v>189</v>
      </c>
      <c r="C26" s="317">
        <v>0</v>
      </c>
      <c r="D26" s="36"/>
      <c r="F26" s="201" t="s">
        <v>40</v>
      </c>
      <c r="G26" s="264"/>
      <c r="H26" s="391" t="s">
        <v>328</v>
      </c>
      <c r="I26" s="197"/>
      <c r="J26" s="201" t="s">
        <v>40</v>
      </c>
      <c r="K26" s="264"/>
      <c r="L26" s="391" t="s">
        <v>328</v>
      </c>
      <c r="M26" s="197">
        <f t="shared" ref="M26:M27" si="0">K26*L26</f>
        <v>0</v>
      </c>
    </row>
    <row r="27" spans="1:13">
      <c r="A27" s="65" t="s">
        <v>96</v>
      </c>
      <c r="C27" s="100">
        <f>SUM(C23:C26)</f>
        <v>0</v>
      </c>
      <c r="D27" s="36"/>
      <c r="F27" s="201" t="s">
        <v>41</v>
      </c>
      <c r="G27" s="264"/>
      <c r="H27" s="391" t="s">
        <v>328</v>
      </c>
      <c r="I27" s="197"/>
      <c r="J27" s="201" t="s">
        <v>41</v>
      </c>
      <c r="K27" s="264"/>
      <c r="L27" s="391" t="s">
        <v>328</v>
      </c>
      <c r="M27" s="197">
        <f t="shared" si="0"/>
        <v>0</v>
      </c>
    </row>
    <row r="28" spans="1:13" ht="16" thickBot="1">
      <c r="A28" s="211" t="s">
        <v>150</v>
      </c>
      <c r="C28" s="314">
        <v>0</v>
      </c>
      <c r="D28" s="37"/>
      <c r="F28" s="201" t="s">
        <v>42</v>
      </c>
      <c r="G28" s="264"/>
      <c r="H28" s="391" t="s">
        <v>328</v>
      </c>
      <c r="I28" s="197"/>
      <c r="J28" s="200" t="s">
        <v>127</v>
      </c>
      <c r="K28" s="182">
        <f>SUM(K23:K27)</f>
        <v>0</v>
      </c>
      <c r="L28" s="183"/>
      <c r="M28" s="198">
        <f>SUM(M23:M27)</f>
        <v>0</v>
      </c>
    </row>
    <row r="29" spans="1:13" ht="16.5" thickTop="1" thickBot="1">
      <c r="A29" s="211" t="s">
        <v>167</v>
      </c>
      <c r="B29" s="387"/>
      <c r="C29" s="314">
        <v>0</v>
      </c>
      <c r="D29" s="36"/>
      <c r="F29" s="201" t="s">
        <v>43</v>
      </c>
      <c r="G29" s="264"/>
      <c r="H29" s="391" t="s">
        <v>328</v>
      </c>
      <c r="I29" s="197"/>
      <c r="J29" s="200"/>
      <c r="K29" s="232">
        <v>11088532</v>
      </c>
      <c r="L29" s="188" t="s">
        <v>102</v>
      </c>
      <c r="M29" s="467" t="e">
        <f>M28/K28</f>
        <v>#DIV/0!</v>
      </c>
    </row>
    <row r="30" spans="1:13" ht="16" thickBot="1">
      <c r="A30" s="2" t="s">
        <v>111</v>
      </c>
      <c r="C30" s="125">
        <f>C7+C11+C14+C17+C20+C22+C27+C28+C29</f>
        <v>0</v>
      </c>
      <c r="D30" s="37"/>
      <c r="F30" s="201" t="s">
        <v>74</v>
      </c>
      <c r="G30" s="264"/>
      <c r="H30" s="391" t="s">
        <v>328</v>
      </c>
      <c r="I30" s="197"/>
      <c r="J30" s="201"/>
      <c r="K30" s="231">
        <f>K28-K29</f>
        <v>-11088532</v>
      </c>
      <c r="L30" s="183"/>
      <c r="M30" s="199"/>
    </row>
    <row r="31" spans="1:13" ht="16" thickBot="1">
      <c r="A31" s="386" t="s">
        <v>112</v>
      </c>
      <c r="C31" s="314">
        <v>0</v>
      </c>
      <c r="D31" s="39"/>
      <c r="F31" s="200" t="s">
        <v>127</v>
      </c>
      <c r="G31" s="182">
        <f>SUM(G23:G30)</f>
        <v>0</v>
      </c>
      <c r="H31" s="7"/>
      <c r="I31" s="198">
        <f>SUM(I23:I30)</f>
        <v>0</v>
      </c>
      <c r="J31" s="153"/>
      <c r="K31" s="7"/>
      <c r="L31" s="183"/>
      <c r="M31" s="199"/>
    </row>
    <row r="32" spans="1:13" ht="16" thickTop="1">
      <c r="A32" s="2" t="s">
        <v>116</v>
      </c>
      <c r="B32" s="2" t="s">
        <v>117</v>
      </c>
      <c r="C32" s="240">
        <f>C30+C31</f>
        <v>0</v>
      </c>
      <c r="D32" s="40"/>
      <c r="F32" s="187"/>
      <c r="G32" s="232">
        <v>28846914</v>
      </c>
      <c r="H32" s="188" t="s">
        <v>102</v>
      </c>
      <c r="I32" s="217" t="e">
        <f>I31/G31</f>
        <v>#DIV/0!</v>
      </c>
      <c r="J32" s="193"/>
      <c r="K32" s="194"/>
      <c r="L32" s="7"/>
      <c r="M32" s="191"/>
    </row>
    <row r="33" spans="1:17" ht="16" thickBot="1">
      <c r="A33" s="386" t="s">
        <v>113</v>
      </c>
      <c r="C33" s="313">
        <f>-C5-C9-C13-C16-C19</f>
        <v>0</v>
      </c>
      <c r="D33" s="36"/>
      <c r="F33" s="153"/>
      <c r="G33" s="231">
        <f>G31-G32</f>
        <v>-28846914</v>
      </c>
      <c r="H33" s="7"/>
      <c r="I33" s="98"/>
      <c r="J33" s="193"/>
      <c r="K33" s="194"/>
      <c r="L33" s="7"/>
      <c r="M33" s="98"/>
    </row>
    <row r="34" spans="1:17" ht="16" thickBot="1">
      <c r="A34" s="2" t="s">
        <v>114</v>
      </c>
      <c r="C34" s="125">
        <f>SUM(C32:C33)</f>
        <v>0</v>
      </c>
      <c r="D34" s="36"/>
      <c r="F34" s="185"/>
      <c r="G34" s="12"/>
      <c r="H34" s="12"/>
      <c r="I34" s="186"/>
      <c r="J34" s="193"/>
      <c r="K34" s="192"/>
      <c r="L34" s="7"/>
      <c r="M34" s="98"/>
    </row>
    <row r="35" spans="1:17" ht="18" customHeight="1">
      <c r="A35" s="2"/>
      <c r="C35" s="101"/>
      <c r="D35" s="36"/>
      <c r="F35" s="200" t="s">
        <v>128</v>
      </c>
      <c r="G35" s="7"/>
      <c r="H35" s="7"/>
      <c r="I35" s="98"/>
      <c r="J35" s="200" t="s">
        <v>128</v>
      </c>
      <c r="K35" s="702"/>
      <c r="L35" s="702"/>
      <c r="M35" s="703"/>
    </row>
    <row r="36" spans="1:17">
      <c r="A36" s="16" t="s">
        <v>94</v>
      </c>
      <c r="B36" s="2"/>
      <c r="C36" s="100"/>
      <c r="D36" s="36"/>
      <c r="F36" s="201" t="s">
        <v>37</v>
      </c>
      <c r="G36" s="265">
        <f>G23</f>
        <v>0</v>
      </c>
      <c r="H36" s="391" t="s">
        <v>328</v>
      </c>
      <c r="I36" s="197"/>
      <c r="J36" s="201" t="s">
        <v>37</v>
      </c>
      <c r="K36" s="265">
        <f>K23</f>
        <v>0</v>
      </c>
      <c r="L36" s="391" t="s">
        <v>328</v>
      </c>
      <c r="M36" s="197"/>
      <c r="P36" s="275"/>
      <c r="Q36" s="275"/>
    </row>
    <row r="37" spans="1:17">
      <c r="A37" s="7" t="s">
        <v>129</v>
      </c>
      <c r="B37" s="540" t="s">
        <v>115</v>
      </c>
      <c r="C37" s="122"/>
      <c r="D37" s="36"/>
      <c r="F37" s="201" t="s">
        <v>38</v>
      </c>
      <c r="G37" s="265">
        <f t="shared" ref="G37:G42" si="1">G24</f>
        <v>0</v>
      </c>
      <c r="H37" s="391" t="s">
        <v>328</v>
      </c>
      <c r="I37" s="197"/>
      <c r="J37" s="201" t="s">
        <v>38</v>
      </c>
      <c r="K37" s="265">
        <f>K24</f>
        <v>0</v>
      </c>
      <c r="L37" s="391" t="s">
        <v>328</v>
      </c>
      <c r="M37" s="197"/>
      <c r="P37" s="275"/>
      <c r="Q37" s="275"/>
    </row>
    <row r="38" spans="1:17">
      <c r="A38" s="144" t="s">
        <v>14</v>
      </c>
      <c r="B38" s="540" t="s">
        <v>115</v>
      </c>
      <c r="C38" s="122"/>
      <c r="D38" s="36"/>
      <c r="F38" s="201" t="s">
        <v>39</v>
      </c>
      <c r="G38" s="265">
        <f t="shared" si="1"/>
        <v>0</v>
      </c>
      <c r="H38" s="391" t="s">
        <v>328</v>
      </c>
      <c r="I38" s="197"/>
      <c r="J38" s="201" t="s">
        <v>39</v>
      </c>
      <c r="K38" s="265">
        <f>K25</f>
        <v>0</v>
      </c>
      <c r="L38" s="391" t="s">
        <v>328</v>
      </c>
      <c r="M38" s="197"/>
      <c r="P38" s="275"/>
      <c r="Q38" s="275"/>
    </row>
    <row r="39" spans="1:17">
      <c r="A39" s="7" t="s">
        <v>146</v>
      </c>
      <c r="B39" s="540" t="s">
        <v>147</v>
      </c>
      <c r="C39" s="122"/>
      <c r="D39" s="36"/>
      <c r="F39" s="201" t="s">
        <v>40</v>
      </c>
      <c r="G39" s="265">
        <f t="shared" si="1"/>
        <v>0</v>
      </c>
      <c r="H39" s="391" t="s">
        <v>328</v>
      </c>
      <c r="I39" s="197"/>
      <c r="J39" s="201" t="s">
        <v>40</v>
      </c>
      <c r="K39" s="265">
        <f>K26</f>
        <v>0</v>
      </c>
      <c r="L39" s="391" t="s">
        <v>328</v>
      </c>
      <c r="M39" s="197"/>
      <c r="P39" s="275"/>
      <c r="Q39" s="275"/>
    </row>
    <row r="40" spans="1:17">
      <c r="A40" s="7" t="s">
        <v>131</v>
      </c>
      <c r="B40" s="540" t="s">
        <v>132</v>
      </c>
      <c r="C40" s="122"/>
      <c r="D40" s="36"/>
      <c r="F40" s="201" t="s">
        <v>41</v>
      </c>
      <c r="G40" s="265">
        <f t="shared" si="1"/>
        <v>0</v>
      </c>
      <c r="H40" s="391" t="s">
        <v>328</v>
      </c>
      <c r="I40" s="197"/>
      <c r="J40" s="201" t="s">
        <v>41</v>
      </c>
      <c r="K40" s="265">
        <f>K27</f>
        <v>0</v>
      </c>
      <c r="L40" s="391" t="s">
        <v>328</v>
      </c>
      <c r="M40" s="197"/>
      <c r="P40" s="275"/>
      <c r="Q40" s="275"/>
    </row>
    <row r="41" spans="1:17">
      <c r="A41" s="7" t="s">
        <v>153</v>
      </c>
      <c r="B41" s="6" t="s">
        <v>155</v>
      </c>
      <c r="C41" s="122"/>
      <c r="D41" s="36"/>
      <c r="F41" s="201" t="s">
        <v>42</v>
      </c>
      <c r="G41" s="265">
        <f t="shared" si="1"/>
        <v>0</v>
      </c>
      <c r="H41" s="391" t="s">
        <v>328</v>
      </c>
      <c r="I41" s="197"/>
      <c r="J41" s="201" t="s">
        <v>42</v>
      </c>
      <c r="K41" s="264">
        <v>0</v>
      </c>
      <c r="L41" s="391" t="s">
        <v>328</v>
      </c>
      <c r="M41" s="197"/>
      <c r="P41" s="275"/>
      <c r="Q41" s="275"/>
    </row>
    <row r="42" spans="1:17" ht="16" thickBot="1">
      <c r="A42" s="7" t="s">
        <v>179</v>
      </c>
      <c r="B42" s="540" t="s">
        <v>180</v>
      </c>
      <c r="C42" s="122"/>
      <c r="D42" s="37"/>
      <c r="F42" s="201" t="s">
        <v>43</v>
      </c>
      <c r="G42" s="265">
        <f t="shared" si="1"/>
        <v>0</v>
      </c>
      <c r="H42" s="391" t="s">
        <v>328</v>
      </c>
      <c r="I42" s="197"/>
      <c r="J42" s="201" t="s">
        <v>43</v>
      </c>
      <c r="K42" s="266"/>
      <c r="L42" s="391" t="s">
        <v>328</v>
      </c>
      <c r="M42" s="197"/>
      <c r="P42" s="275"/>
      <c r="Q42" s="275"/>
    </row>
    <row r="43" spans="1:17" ht="16" thickBot="1">
      <c r="A43" s="85" t="s">
        <v>123</v>
      </c>
      <c r="B43" s="12"/>
      <c r="C43" s="125">
        <f>SUM(C37:C42)</f>
        <v>0</v>
      </c>
      <c r="D43" s="36"/>
      <c r="F43" s="200" t="s">
        <v>133</v>
      </c>
      <c r="G43" s="182">
        <f>SUM(G36:G42)</f>
        <v>0</v>
      </c>
      <c r="H43" s="183"/>
      <c r="I43" s="198">
        <f>SUM(I36:I42)</f>
        <v>0</v>
      </c>
      <c r="J43" s="200" t="s">
        <v>133</v>
      </c>
      <c r="K43" s="182">
        <f>SUM(K36:K42)</f>
        <v>0</v>
      </c>
      <c r="L43" s="183"/>
      <c r="M43" s="198">
        <f>SUM(M36:M42)</f>
        <v>0</v>
      </c>
    </row>
    <row r="44" spans="1:17" ht="16" thickBot="1">
      <c r="A44" s="83" t="s">
        <v>178</v>
      </c>
      <c r="B44" s="84" t="s">
        <v>120</v>
      </c>
      <c r="C44" s="242"/>
      <c r="D44" s="37"/>
      <c r="F44" s="189"/>
      <c r="G44" s="233">
        <v>25666463</v>
      </c>
      <c r="H44" s="190" t="s">
        <v>102</v>
      </c>
      <c r="I44" s="216" t="e">
        <f>I43/G43</f>
        <v>#DIV/0!</v>
      </c>
      <c r="J44" s="195"/>
      <c r="K44" s="233">
        <v>11126923</v>
      </c>
      <c r="L44" s="190" t="s">
        <v>102</v>
      </c>
      <c r="M44" s="218" t="e">
        <f>M43/K43</f>
        <v>#DIV/0!</v>
      </c>
    </row>
    <row r="45" spans="1:17">
      <c r="A45" s="212" t="s">
        <v>168</v>
      </c>
      <c r="B45" s="6" t="s">
        <v>115</v>
      </c>
      <c r="C45" s="122">
        <v>0</v>
      </c>
      <c r="D45" s="39"/>
      <c r="F45" s="387"/>
      <c r="G45" s="231">
        <f>G43-G44</f>
        <v>-25666463</v>
      </c>
      <c r="H45" s="387"/>
      <c r="I45" s="387"/>
      <c r="J45" s="124"/>
      <c r="K45" s="231">
        <f>K43-K44</f>
        <v>-11126923</v>
      </c>
      <c r="L45" s="387"/>
      <c r="M45" s="124"/>
    </row>
    <row r="46" spans="1:17" ht="19.5" customHeight="1" thickBot="1">
      <c r="A46" s="144" t="s">
        <v>169</v>
      </c>
      <c r="B46" s="6" t="s">
        <v>115</v>
      </c>
      <c r="C46" s="122">
        <v>0</v>
      </c>
      <c r="D46" s="40"/>
      <c r="F46" s="387"/>
      <c r="G46" s="387"/>
      <c r="H46" s="387"/>
      <c r="I46" s="387"/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/>
      <c r="D47" s="36"/>
      <c r="F47" s="387"/>
      <c r="G47" s="114"/>
      <c r="H47" s="129" t="s">
        <v>35</v>
      </c>
      <c r="I47" s="13" t="s">
        <v>35</v>
      </c>
      <c r="J47" s="13" t="s">
        <v>63</v>
      </c>
      <c r="K47" s="127" t="s">
        <v>70</v>
      </c>
      <c r="L47" s="124"/>
      <c r="M47" s="387"/>
    </row>
    <row r="48" spans="1:17" ht="16" thickBot="1">
      <c r="A48" s="144" t="s">
        <v>222</v>
      </c>
      <c r="B48" s="6" t="s">
        <v>115</v>
      </c>
      <c r="C48" s="122"/>
      <c r="D48" s="36"/>
      <c r="F48" s="50" t="s">
        <v>73</v>
      </c>
      <c r="G48" s="387"/>
      <c r="H48" s="130" t="s">
        <v>2</v>
      </c>
      <c r="I48" s="131" t="s">
        <v>3</v>
      </c>
      <c r="J48" s="131" t="s">
        <v>2</v>
      </c>
      <c r="K48" s="128" t="s">
        <v>3</v>
      </c>
      <c r="L48" s="387"/>
      <c r="M48" s="387"/>
    </row>
    <row r="49" spans="1:21">
      <c r="A49" s="7" t="s">
        <v>130</v>
      </c>
      <c r="B49" s="540" t="s">
        <v>152</v>
      </c>
      <c r="C49" s="122"/>
      <c r="D49" s="36"/>
      <c r="F49" s="387"/>
      <c r="G49" s="387"/>
      <c r="H49" s="151"/>
      <c r="I49" s="152"/>
      <c r="J49" s="152"/>
      <c r="K49" s="152"/>
      <c r="L49" s="126" t="s">
        <v>103</v>
      </c>
      <c r="M49" s="387"/>
    </row>
    <row r="50" spans="1:21">
      <c r="A50" s="7" t="s">
        <v>175</v>
      </c>
      <c r="B50" s="540" t="s">
        <v>152</v>
      </c>
      <c r="C50" s="122"/>
      <c r="D50" s="37"/>
      <c r="F50" s="387" t="s">
        <v>136</v>
      </c>
      <c r="G50" s="387"/>
      <c r="H50" s="213" t="e">
        <f>K12</f>
        <v>#DIV/0!</v>
      </c>
      <c r="I50" s="115">
        <f>I14</f>
        <v>0</v>
      </c>
      <c r="J50" s="115" t="e">
        <f>L12</f>
        <v>#DIV/0!</v>
      </c>
      <c r="K50" s="115">
        <f>J14</f>
        <v>0</v>
      </c>
      <c r="L50" s="132" t="e">
        <f>SUM(H50:K50)</f>
        <v>#DIV/0!</v>
      </c>
      <c r="M50" s="387"/>
    </row>
    <row r="51" spans="1:21" ht="16" thickBot="1">
      <c r="A51" s="7" t="s">
        <v>224</v>
      </c>
      <c r="B51" s="540" t="s">
        <v>152</v>
      </c>
      <c r="C51" s="122"/>
      <c r="D51" s="36"/>
      <c r="F51" s="386" t="s">
        <v>109</v>
      </c>
      <c r="H51" s="213">
        <f>-I43</f>
        <v>0</v>
      </c>
      <c r="I51" s="115">
        <f>-I31</f>
        <v>0</v>
      </c>
      <c r="J51" s="115">
        <f>-M43</f>
        <v>0</v>
      </c>
      <c r="K51" s="115">
        <f>-M28</f>
        <v>0</v>
      </c>
      <c r="L51" s="263">
        <f>SUM(H51:K51)</f>
        <v>0</v>
      </c>
    </row>
    <row r="52" spans="1:21" ht="16" thickBot="1">
      <c r="A52" s="22" t="s">
        <v>118</v>
      </c>
      <c r="B52" s="6"/>
      <c r="C52" s="100">
        <f>-C33</f>
        <v>0</v>
      </c>
      <c r="D52" s="33"/>
      <c r="F52" s="386" t="s">
        <v>86</v>
      </c>
      <c r="H52" s="235">
        <v>0</v>
      </c>
      <c r="I52" s="236">
        <v>0</v>
      </c>
      <c r="J52" s="236">
        <v>0</v>
      </c>
      <c r="K52" s="237">
        <v>0</v>
      </c>
      <c r="L52" s="215" t="e">
        <f>SUM(L50:L51)</f>
        <v>#DIV/0!</v>
      </c>
    </row>
    <row r="53" spans="1:21" ht="16" thickBot="1">
      <c r="A53" s="384" t="s">
        <v>124</v>
      </c>
      <c r="B53" s="475"/>
      <c r="C53" s="314"/>
      <c r="D53" s="36"/>
      <c r="F53" s="386" t="s">
        <v>71</v>
      </c>
      <c r="H53" s="125">
        <f>IFERROR(H50+H51+H52,0)</f>
        <v>0</v>
      </c>
      <c r="I53" s="125">
        <f>I50+I51+I52</f>
        <v>0</v>
      </c>
      <c r="J53" s="125">
        <f>IFERROR(J50+J51+J52,0)</f>
        <v>0</v>
      </c>
      <c r="K53" s="125">
        <f>K50+K51+K52</f>
        <v>0</v>
      </c>
      <c r="L53" s="47">
        <f>SUM(H53:K53)</f>
        <v>0</v>
      </c>
    </row>
    <row r="54" spans="1:21" ht="16" thickBot="1">
      <c r="A54" s="386" t="s">
        <v>191</v>
      </c>
      <c r="B54" s="6" t="s">
        <v>192</v>
      </c>
      <c r="C54" s="122"/>
      <c r="D54" s="36"/>
      <c r="F54" s="241" t="s">
        <v>182</v>
      </c>
      <c r="H54" s="386" t="s">
        <v>173</v>
      </c>
      <c r="I54" s="5">
        <f>SUM(H53:I53)</f>
        <v>0</v>
      </c>
      <c r="J54" s="15" t="s">
        <v>174</v>
      </c>
      <c r="K54" s="386">
        <f>SUM(J53:K53)</f>
        <v>0</v>
      </c>
      <c r="L54" s="214" t="e">
        <f>ROUND(L52-L53,3)</f>
        <v>#DIV/0!</v>
      </c>
    </row>
    <row r="55" spans="1:21" ht="16.5" thickTop="1" thickBot="1">
      <c r="A55" s="82" t="s">
        <v>119</v>
      </c>
      <c r="B55" s="84"/>
      <c r="C55" s="160">
        <f>SUM(C43:C54)</f>
        <v>0</v>
      </c>
      <c r="D55" s="36"/>
      <c r="F55" s="399" t="s">
        <v>182</v>
      </c>
      <c r="H55" s="96"/>
    </row>
    <row r="56" spans="1:21" ht="16.5" thickTop="1" thickBot="1">
      <c r="A56" s="386" t="s">
        <v>121</v>
      </c>
      <c r="B56" s="6" t="s">
        <v>115</v>
      </c>
      <c r="C56" s="122"/>
      <c r="D56" s="36"/>
      <c r="F56" s="399" t="s">
        <v>183</v>
      </c>
      <c r="H56" s="157"/>
      <c r="I56" s="120"/>
      <c r="J56" s="120"/>
      <c r="K56" s="205"/>
      <c r="L56" s="120"/>
      <c r="T56" s="42"/>
    </row>
    <row r="57" spans="1:21">
      <c r="A57" s="386" t="s">
        <v>122</v>
      </c>
      <c r="B57" s="6" t="s">
        <v>115</v>
      </c>
      <c r="C57" s="122"/>
      <c r="D57" s="36"/>
      <c r="F57" s="551" t="s">
        <v>323</v>
      </c>
      <c r="G57" s="552" t="str">
        <f>IF(OR(AND(I54&gt;0,K54&gt;0),AND(I54&lt;0,K54&lt;0)),"OK","ERROR")</f>
        <v>ERROR</v>
      </c>
      <c r="H57" s="388" t="s">
        <v>314</v>
      </c>
      <c r="I57" s="389"/>
    </row>
    <row r="58" spans="1:21" ht="16" thickBot="1">
      <c r="A58" s="2" t="s">
        <v>125</v>
      </c>
      <c r="B58" s="2"/>
      <c r="C58" s="160">
        <f>SUM(C55:C57)</f>
        <v>0</v>
      </c>
      <c r="D58" s="36"/>
      <c r="H58" s="320" t="s">
        <v>176</v>
      </c>
      <c r="I58" s="321" t="s">
        <v>177</v>
      </c>
      <c r="J58" s="5"/>
    </row>
    <row r="59" spans="1:21" ht="16.5" thickTop="1" thickBot="1">
      <c r="A59" s="2"/>
      <c r="C59" s="101"/>
      <c r="D59" s="36"/>
      <c r="H59" s="351">
        <f>SUM('WA - Def-Amtz'!AL5:AL10,'WA - Def-Amtz'!AL41:AL46,'WA - Def-Amtz'!AL76:AL79,'ID - Def-Amtz '!AL5:AL10,'ID - Def-Amtz '!AL42:AL47,'ID - Def-Amtz '!AL75:AL80)</f>
        <v>7890436.3542569289</v>
      </c>
      <c r="I59" s="451">
        <f>SUM('WA - Def-Amtz'!AM5:AM10,'WA - Def-Amtz'!AM41:AM46,'WA - Def-Amtz'!AM76:AM79,'ID - Def-Amtz '!AM5:AM10,'ID - Def-Amtz '!AM42:AM47,'ID - Def-Amtz '!AM75:AM80)</f>
        <v>7890436.3542569289</v>
      </c>
      <c r="J59" s="386">
        <f>H51+I51+J51+K51</f>
        <v>0</v>
      </c>
    </row>
    <row r="60" spans="1:21" ht="16" thickBot="1">
      <c r="A60" s="9"/>
      <c r="B60" s="9" t="s">
        <v>95</v>
      </c>
      <c r="C60" s="125">
        <f>C58+C34</f>
        <v>0</v>
      </c>
      <c r="D60" s="36"/>
      <c r="G60" s="5"/>
      <c r="I60" s="340">
        <f>H59-I59</f>
        <v>0</v>
      </c>
    </row>
    <row r="61" spans="1:21">
      <c r="A61" s="2"/>
      <c r="B61" s="9" t="s">
        <v>160</v>
      </c>
      <c r="C61" s="352">
        <v>15654274.289999999</v>
      </c>
      <c r="D61" s="37"/>
    </row>
    <row r="62" spans="1:21">
      <c r="A62" s="9"/>
      <c r="B62" s="9" t="s">
        <v>159</v>
      </c>
      <c r="C62" s="259">
        <f>ROUND(C60-C61,2)</f>
        <v>-15654274.289999999</v>
      </c>
      <c r="N62" s="5"/>
      <c r="O62" s="5"/>
      <c r="P62" s="21"/>
    </row>
    <row r="63" spans="1:21">
      <c r="A63" s="44"/>
      <c r="C63" s="353"/>
      <c r="D63" s="36"/>
      <c r="S63" s="6"/>
    </row>
    <row r="64" spans="1:21">
      <c r="A64" s="44"/>
      <c r="C64" s="8"/>
      <c r="D64" s="43"/>
      <c r="N64" s="22"/>
      <c r="U64" s="2"/>
    </row>
    <row r="65" spans="1:21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4 I60">
    <cfRule type="cellIs" dxfId="691" priority="6" stopIfTrue="1" operator="equal">
      <formula>0</formula>
    </cfRule>
    <cfRule type="cellIs" dxfId="690" priority="7" stopIfTrue="1" operator="notEqual">
      <formula>0</formula>
    </cfRule>
  </conditionalFormatting>
  <conditionalFormatting sqref="G33 G45 K30 K45">
    <cfRule type="cellIs" dxfId="689" priority="5" operator="notEqual">
      <formula>0</formula>
    </cfRule>
  </conditionalFormatting>
  <conditionalFormatting sqref="C62">
    <cfRule type="cellIs" dxfId="688" priority="3" stopIfTrue="1" operator="equal">
      <formula>0</formula>
    </cfRule>
    <cfRule type="cellIs" dxfId="687" priority="4" stopIfTrue="1" operator="notEqual">
      <formula>0</formula>
    </cfRule>
  </conditionalFormatting>
  <conditionalFormatting sqref="K30">
    <cfRule type="cellIs" dxfId="686" priority="2" operator="notEqual">
      <formula>0</formula>
    </cfRule>
  </conditionalFormatting>
  <conditionalFormatting sqref="G57">
    <cfRule type="cellIs" dxfId="68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CC66"/>
    <pageSetUpPr fitToPage="1"/>
  </sheetPr>
  <dimension ref="A1:AM84"/>
  <sheetViews>
    <sheetView topLeftCell="X5" zoomScale="85" zoomScaleNormal="85" zoomScaleSheetLayoutView="85" workbookViewId="0">
      <selection activeCell="AL43" activeCellId="1" sqref="AL45 AL43"/>
    </sheetView>
  </sheetViews>
  <sheetFormatPr defaultColWidth="9.09765625" defaultRowHeight="15.5"/>
  <cols>
    <col min="1" max="1" width="17.296875" style="482" customWidth="1"/>
    <col min="2" max="2" width="18.69921875" style="481" bestFit="1" customWidth="1"/>
    <col min="3" max="3" width="16.09765625" style="482" customWidth="1"/>
    <col min="4" max="4" width="16.296875" style="482" customWidth="1"/>
    <col min="5" max="5" width="15.59765625" style="482" hidden="1" customWidth="1"/>
    <col min="6" max="6" width="18.296875" style="482" hidden="1" customWidth="1"/>
    <col min="7" max="7" width="16.296875" style="482" hidden="1" customWidth="1"/>
    <col min="8" max="9" width="19.8984375" style="482" hidden="1" customWidth="1"/>
    <col min="10" max="10" width="16.296875" style="482" hidden="1" customWidth="1"/>
    <col min="11" max="11" width="21.59765625" style="482" hidden="1" customWidth="1"/>
    <col min="12" max="18" width="16.296875" style="482" hidden="1" customWidth="1"/>
    <col min="19" max="20" width="16.296875" style="482" customWidth="1"/>
    <col min="21" max="21" width="19.8984375" style="482" customWidth="1"/>
    <col min="22" max="22" width="16.296875" style="482" customWidth="1"/>
    <col min="23" max="23" width="21.59765625" style="482" customWidth="1"/>
    <col min="24" max="31" width="16.296875" style="482" customWidth="1"/>
    <col min="32" max="32" width="16.296875" style="482" hidden="1" customWidth="1"/>
    <col min="33" max="33" width="11.69921875" style="482" customWidth="1"/>
    <col min="34" max="34" width="37.8984375" style="482" bestFit="1" customWidth="1"/>
    <col min="35" max="35" width="14.3984375" style="525" bestFit="1" customWidth="1"/>
    <col min="36" max="36" width="4.69921875" style="482" bestFit="1" customWidth="1"/>
    <col min="37" max="37" width="5" style="482" bestFit="1" customWidth="1"/>
    <col min="38" max="38" width="18.296875" style="482" customWidth="1"/>
    <col min="39" max="39" width="17.09765625" style="482" bestFit="1" customWidth="1"/>
    <col min="40" max="40" width="0.3984375" style="482" customWidth="1"/>
    <col min="41" max="16384" width="9.09765625" style="482"/>
  </cols>
  <sheetData>
    <row r="1" spans="1:39">
      <c r="A1" s="480" t="s">
        <v>265</v>
      </c>
      <c r="AH1" s="480" t="s">
        <v>315</v>
      </c>
    </row>
    <row r="2" spans="1:39">
      <c r="A2" s="483" t="s">
        <v>266</v>
      </c>
    </row>
    <row r="3" spans="1:39" s="483" customFormat="1" ht="31.5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" si="0">U3+1</f>
        <v>201502</v>
      </c>
      <c r="W3" s="484">
        <f t="shared" ref="W3" si="1">V3+1</f>
        <v>201503</v>
      </c>
      <c r="X3" s="484">
        <f t="shared" ref="X3" si="2">W3+1</f>
        <v>201504</v>
      </c>
      <c r="Y3" s="484">
        <f t="shared" ref="Y3" si="3">X3+1</f>
        <v>201505</v>
      </c>
      <c r="Z3" s="484">
        <f t="shared" ref="Z3" si="4">Y3+1</f>
        <v>201506</v>
      </c>
      <c r="AA3" s="484">
        <f t="shared" ref="AA3" si="5">Z3+1</f>
        <v>201507</v>
      </c>
      <c r="AB3" s="484">
        <f t="shared" ref="AB3" si="6">AA3+1</f>
        <v>201508</v>
      </c>
      <c r="AC3" s="484">
        <f t="shared" ref="AC3" si="7">AB3+1</f>
        <v>201509</v>
      </c>
      <c r="AD3" s="484">
        <f t="shared" ref="AD3" si="8">AC3+1</f>
        <v>201510</v>
      </c>
      <c r="AE3" s="484">
        <f>AD3+1</f>
        <v>201511</v>
      </c>
      <c r="AF3" s="484">
        <f t="shared" ref="AF3" si="9">AE3+1</f>
        <v>201512</v>
      </c>
      <c r="AI3" s="484"/>
    </row>
    <row r="4" spans="1:39" s="483" customFormat="1" ht="16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H4" s="544">
        <v>201511</v>
      </c>
      <c r="AI4" s="526"/>
      <c r="AJ4" s="514"/>
      <c r="AK4" s="514"/>
      <c r="AL4" s="514"/>
      <c r="AM4" s="515"/>
    </row>
    <row r="5" spans="1:39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-1154882.2995837759</v>
      </c>
      <c r="W5" s="482">
        <f t="shared" ref="W5" si="10">V13</f>
        <v>-1883329.5456927749</v>
      </c>
      <c r="X5" s="482">
        <f t="shared" ref="X5" si="11">W13</f>
        <v>-872806.43822777225</v>
      </c>
      <c r="Y5" s="482">
        <f t="shared" ref="Y5" si="12">X13</f>
        <v>-2959310.535139773</v>
      </c>
      <c r="Z5" s="482">
        <f t="shared" ref="Z5" si="13">Y13</f>
        <v>-3131335.1133777718</v>
      </c>
      <c r="AA5" s="482">
        <f t="shared" ref="AA5" si="14">Z13</f>
        <v>-3303665.3888877728</v>
      </c>
      <c r="AB5" s="482">
        <f t="shared" ref="AB5" si="15">AA13</f>
        <v>-3655951.1713057715</v>
      </c>
      <c r="AC5" s="482">
        <f t="shared" ref="AC5" si="16">AB13</f>
        <v>-3747278.07094577</v>
      </c>
      <c r="AD5" s="482">
        <f t="shared" ref="AD5" si="17">AC13</f>
        <v>-4948357.8050077725</v>
      </c>
      <c r="AE5" s="482">
        <f>AD13</f>
        <v>-6093381.4883727729</v>
      </c>
      <c r="AF5" s="482">
        <f t="shared" ref="AF5" si="18">AE13</f>
        <v>-4601368.0745627712</v>
      </c>
      <c r="AH5" s="497" t="s">
        <v>294</v>
      </c>
      <c r="AI5" s="527">
        <v>419600</v>
      </c>
      <c r="AJ5" s="498" t="s">
        <v>288</v>
      </c>
      <c r="AK5" s="498" t="s">
        <v>289</v>
      </c>
      <c r="AL5" s="519">
        <v>0</v>
      </c>
      <c r="AM5" s="520">
        <f>IF(SUMIF(U3:AF3,AH4,U8:AF8)&gt;0,SUMIF(U3:AF3,AH4,U8:AF8),0)</f>
        <v>0</v>
      </c>
    </row>
    <row r="6" spans="1:39">
      <c r="B6" s="481" t="s">
        <v>254</v>
      </c>
      <c r="C6" s="482">
        <f>SUM(U6:AF6)</f>
        <v>-10042423.246235993</v>
      </c>
      <c r="D6" s="482">
        <f>-2523837.34+SUM(E6:Z6,E9:AE9)</f>
        <v>-188634.08857877459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f>Feb!$H$53</f>
        <v>0</v>
      </c>
      <c r="W6" s="482">
        <f>Mar!$H$53</f>
        <v>1135107.4385570027</v>
      </c>
      <c r="X6" s="482">
        <f>Apr!$H$53</f>
        <v>-2310603.7085020011</v>
      </c>
      <c r="Y6" s="482">
        <f>May!$H$53</f>
        <v>-1026688.9535339989</v>
      </c>
      <c r="Z6" s="482">
        <f>Jun!$H$53</f>
        <v>-1511176.335440001</v>
      </c>
      <c r="AA6" s="482">
        <f>Jul!$H$53</f>
        <v>-1483614.197077998</v>
      </c>
      <c r="AB6" s="482">
        <f>Aug!$H$53</f>
        <v>-1288286.6270379988</v>
      </c>
      <c r="AC6" s="482">
        <f>Sep!$H$53</f>
        <v>-2088616.5970920017</v>
      </c>
      <c r="AD6" s="482">
        <f>Oct!$H$55</f>
        <v>-1862270.5500129997</v>
      </c>
      <c r="AE6" s="482">
        <f>Nov!$H$55</f>
        <v>-294955.25549999811</v>
      </c>
      <c r="AF6" s="482">
        <f>Dec!$H$53</f>
        <v>0</v>
      </c>
      <c r="AH6" s="499" t="s">
        <v>295</v>
      </c>
      <c r="AI6" s="528">
        <v>431600</v>
      </c>
      <c r="AJ6" s="358" t="s">
        <v>288</v>
      </c>
      <c r="AK6" s="358" t="s">
        <v>289</v>
      </c>
      <c r="AL6" s="381">
        <f>IF(SUMIF(U3:AF3,AH4,U8:AF8)&lt;0,-SUMIF(U3:AF3,AH4,U8:AF8),0)</f>
        <v>10253.44</v>
      </c>
      <c r="AM6" s="500">
        <v>0</v>
      </c>
    </row>
    <row r="7" spans="1:39">
      <c r="B7" s="481" t="s">
        <v>255</v>
      </c>
      <c r="C7" s="482">
        <f t="shared" ref="C7:C12" si="19">SUM(U7:AF7)</f>
        <v>2652361.2041769996</v>
      </c>
      <c r="D7" s="482">
        <f>5059705.37+SUM(E7:Z7,E10:AE10)</f>
        <v>-3.0899792909622192E-4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f>Feb!$I$53</f>
        <v>-724338.56610899908</v>
      </c>
      <c r="W7" s="482">
        <f>Mar!$I$53</f>
        <v>-120857.11109200004</v>
      </c>
      <c r="X7" s="482">
        <f>Apr!$I$53</f>
        <v>229663.83159000031</v>
      </c>
      <c r="Y7" s="482">
        <f>May!$I$53</f>
        <v>862900.97529599979</v>
      </c>
      <c r="Z7" s="482">
        <f>Jun!$I$53</f>
        <v>1347548.3399299998</v>
      </c>
      <c r="AA7" s="482">
        <f>Jul!$I$53</f>
        <v>1140740.15466</v>
      </c>
      <c r="AB7" s="482">
        <f>Aug!$I$53</f>
        <v>1206971.3773980001</v>
      </c>
      <c r="AC7" s="482">
        <f>Sep!$I$53</f>
        <v>899296.28302999982</v>
      </c>
      <c r="AD7" s="482">
        <f>Oct!$I$55</f>
        <v>732178.99664799974</v>
      </c>
      <c r="AE7" s="482">
        <f>Nov!$I$55</f>
        <v>-1315498.7206899999</v>
      </c>
      <c r="AF7" s="482">
        <f>Dec!$I$53</f>
        <v>0</v>
      </c>
      <c r="AH7" s="499" t="s">
        <v>296</v>
      </c>
      <c r="AI7" s="528">
        <v>191010</v>
      </c>
      <c r="AJ7" s="358" t="s">
        <v>288</v>
      </c>
      <c r="AK7" s="358" t="s">
        <v>289</v>
      </c>
      <c r="AL7" s="381">
        <f>IF((SUMIF(U3:AF3,AH4,U6:AF6)+SUMIF(U3:AF3,AH4,U7:AF7)+SUMIF(U3:AF3,AH4,U8:AF8))&gt;0,(SUMIF(U3:AF3,AH4,U6:AF6)+SUMIF(U3:AF3,AH4,U7:AF7)+SUMIF(U3:AF3,AH4,U8:AF8)),0)</f>
        <v>0</v>
      </c>
      <c r="AM7" s="500">
        <f>IF((SUMIF(U3:AF3,AH4,U6:AF6)+SUMIF(U3:AF3,AH4,U7:AF7)+SUMIF(U3:AF3,AH4,U8:AF8))&lt;0,-(SUMIF(U3:AF3,AH4,U6:AF6)+SUMIF(U3:AF3,AH4,U7:AF7)++SUMIF(U3:AF3,AH4,U8:AF8)),0)</f>
        <v>1620707.4161899979</v>
      </c>
    </row>
    <row r="8" spans="1:39">
      <c r="B8" s="481" t="s">
        <v>258</v>
      </c>
      <c r="C8" s="482">
        <f t="shared" si="19"/>
        <v>-100479.29999999999</v>
      </c>
      <c r="D8" s="482">
        <f>-38846.64+SUM(E8:Z8,E11:AE11)+X12</f>
        <v>-2310.0800000000368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20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f>ROUND(((V5)*(V4/12))+((SUM(V6:V7)/2)*(V4/12)),2)</f>
        <v>-4108.68</v>
      </c>
      <c r="W8" s="489">
        <f t="shared" ref="W8:AC8" si="21">ROUND(((W5)*(W4/12))+((SUM(W6:W7)/2)*(W4/12)),2)</f>
        <v>-3727.22</v>
      </c>
      <c r="X8" s="489">
        <f>ROUND(((X5+X12)*(X4/12))+((SUM(X6:X7)/2)*(X4/12)),2)</f>
        <v>-5182.82</v>
      </c>
      <c r="Y8" s="489">
        <f t="shared" si="21"/>
        <v>-8236.6</v>
      </c>
      <c r="Z8" s="489">
        <f t="shared" si="21"/>
        <v>-8702.2800000000007</v>
      </c>
      <c r="AA8" s="489">
        <f t="shared" si="21"/>
        <v>-9411.74</v>
      </c>
      <c r="AB8" s="489">
        <f t="shared" si="21"/>
        <v>-10011.65</v>
      </c>
      <c r="AC8" s="489">
        <f t="shared" si="21"/>
        <v>-11759.42</v>
      </c>
      <c r="AD8" s="489">
        <f>ROUND(((AD5)*(AD4/12))+((SUM(AD6:AD7)/2)*(AD4/12)),2)</f>
        <v>-14932.13</v>
      </c>
      <c r="AE8" s="489">
        <f>ROUND(((AE5+AE9+AE10+AE11)*(AE4/12))+((SUM(AE6:AE7)/2)*(AE4/12)),2)</f>
        <v>-10253.44</v>
      </c>
      <c r="AF8" s="489">
        <f>ROUND(((AF5)*(AF4/12))+((SUM(AF6:AF7)/2)*(AF4/12)),2)</f>
        <v>-12462.04</v>
      </c>
      <c r="AH8" s="499" t="s">
        <v>297</v>
      </c>
      <c r="AI8" s="528">
        <v>805120</v>
      </c>
      <c r="AJ8" s="358" t="s">
        <v>288</v>
      </c>
      <c r="AK8" s="358" t="s">
        <v>289</v>
      </c>
      <c r="AL8" s="381">
        <f>IF((SUMIF(U3:AF3,AH4,U6:AF6)+SUMIF(U3:AF3,AH4,U7:AF7))&lt;0,-(SUMIF(U3:AF3,AH4,U6:AF6)+SUMIF(U3:AF3,AH4,U7:AF7)),0)</f>
        <v>1610453.976189998</v>
      </c>
      <c r="AM8" s="500">
        <f>IF((SUMIF(U3:AF3,AH4,U6:AF6)+SUMIF(U3:AF3,AH4,U7:AF7))&gt;0,(SUMIF(U3:AF3,AH4,U6:AF6)+SUMIF(U3:AF3,AH4,U7:AF7)),0)</f>
        <v>0</v>
      </c>
    </row>
    <row r="9" spans="1:39">
      <c r="B9" s="481" t="s">
        <v>262</v>
      </c>
      <c r="C9" s="482">
        <f t="shared" si="19"/>
        <v>7016598.3399999999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H9" s="499" t="s">
        <v>11</v>
      </c>
      <c r="AI9" s="528">
        <v>191010</v>
      </c>
      <c r="AJ9" s="358" t="s">
        <v>288</v>
      </c>
      <c r="AK9" s="358" t="s">
        <v>289</v>
      </c>
      <c r="AL9" s="381">
        <f>SUM(AE9:AE12)</f>
        <v>3112720.8299999996</v>
      </c>
      <c r="AM9" s="500">
        <v>0</v>
      </c>
    </row>
    <row r="10" spans="1:39" ht="16" thickBot="1">
      <c r="B10" s="481" t="s">
        <v>263</v>
      </c>
      <c r="C10" s="482">
        <f t="shared" si="19"/>
        <v>-4011333.16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H10" s="501" t="str">
        <f>AH9</f>
        <v>Tracker Transfer</v>
      </c>
      <c r="AI10" s="529">
        <f>AI43</f>
        <v>191000</v>
      </c>
      <c r="AJ10" s="529" t="str">
        <f>AJ43</f>
        <v>GD</v>
      </c>
      <c r="AK10" s="529" t="str">
        <f>AK43</f>
        <v>WA</v>
      </c>
      <c r="AL10" s="503">
        <v>0</v>
      </c>
      <c r="AM10" s="521">
        <f>AL9</f>
        <v>3112720.8299999996</v>
      </c>
    </row>
    <row r="11" spans="1:39" ht="16" thickBot="1">
      <c r="B11" s="481" t="s">
        <v>264</v>
      </c>
      <c r="C11" s="482">
        <f t="shared" si="19"/>
        <v>37518.67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H11" s="516"/>
      <c r="AI11" s="530"/>
      <c r="AJ11" s="517"/>
      <c r="AK11" s="517"/>
      <c r="AL11" s="517" t="s">
        <v>159</v>
      </c>
      <c r="AM11" s="518">
        <f>SUM(AL5:AL10)-SUM(AM5:AM10)</f>
        <v>0</v>
      </c>
    </row>
    <row r="12" spans="1:39">
      <c r="B12" s="481" t="s">
        <v>148</v>
      </c>
      <c r="C12" s="482">
        <f t="shared" si="19"/>
        <v>-381.78999999999996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v>0</v>
      </c>
    </row>
    <row r="13" spans="1:39" ht="16" thickBot="1">
      <c r="B13" s="481" t="s">
        <v>56</v>
      </c>
      <c r="C13" s="541">
        <f>SUM(C5:C12)</f>
        <v>-4448139.2820589934</v>
      </c>
      <c r="D13" s="541"/>
      <c r="E13" s="541">
        <f>SUM(E5:E12)</f>
        <v>2712780.2600000002</v>
      </c>
      <c r="F13" s="541">
        <f t="shared" ref="F13:H13" si="22">SUM(F5:F12)</f>
        <v>2255013.9900000002</v>
      </c>
      <c r="G13" s="541">
        <f>SUM(G5:G12)</f>
        <v>-33498.738666789999</v>
      </c>
      <c r="H13" s="541">
        <f t="shared" si="22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23">SUM(V5:V12)</f>
        <v>-1883329.5456927749</v>
      </c>
      <c r="W13" s="541">
        <f t="shared" si="23"/>
        <v>-872806.43822777225</v>
      </c>
      <c r="X13" s="541">
        <f t="shared" si="23"/>
        <v>-2959310.535139773</v>
      </c>
      <c r="Y13" s="541">
        <f>SUM(Y5:Y12)</f>
        <v>-3131335.1133777718</v>
      </c>
      <c r="Z13" s="541">
        <f t="shared" ref="Z13:AF13" si="24">SUM(Z5:Z12)</f>
        <v>-3303665.3888877728</v>
      </c>
      <c r="AA13" s="541">
        <f t="shared" si="24"/>
        <v>-3655951.1713057715</v>
      </c>
      <c r="AB13" s="541">
        <f t="shared" si="24"/>
        <v>-3747278.07094577</v>
      </c>
      <c r="AC13" s="541">
        <f t="shared" si="24"/>
        <v>-4948357.8050077725</v>
      </c>
      <c r="AD13" s="541">
        <f t="shared" si="24"/>
        <v>-6093381.4883727729</v>
      </c>
      <c r="AE13" s="541">
        <f t="shared" si="24"/>
        <v>-4601368.0745627712</v>
      </c>
      <c r="AF13" s="541">
        <f t="shared" si="24"/>
        <v>-4613830.1145627713</v>
      </c>
    </row>
    <row r="14" spans="1:39" ht="16" thickTop="1">
      <c r="B14" s="481" t="s">
        <v>260</v>
      </c>
      <c r="E14" s="482" t="e">
        <f ca="1">_xll.Get_Balance(E3,"YTD","USD","Total","A","","001",$A$3,"GD","WA","DL")</f>
        <v>#NAME?</v>
      </c>
      <c r="F14" s="482" t="e">
        <f ca="1">_xll.Get_Balance(F3,"YTD","USD","Total","A","","001",$A$3,"GD","WA","DL")</f>
        <v>#NAME?</v>
      </c>
      <c r="G14" s="482" t="e">
        <f ca="1">_xll.Get_Balance(G3,"YTD","USD","Total","A","","001",$A$3,"GD","WA","DL")</f>
        <v>#NAME?</v>
      </c>
      <c r="H14" s="482" t="e">
        <f ca="1">_xll.Get_Balance(H3,"YTD","USD","Total","A","","001",$A$3,"GD","WA","DL")</f>
        <v>#NAME?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 t="e">
        <f ca="1">_xll.Get_Balance(V3,"YTD","USD","Total","A","","001",$A$3,"GD","WA","DL")</f>
        <v>#NAME?</v>
      </c>
      <c r="W14" s="482" t="e">
        <f ca="1">_xll.Get_Balance(W3,"YTD","USD","Total","A","","001",$A$3,"GD","WA","DL")</f>
        <v>#NAME?</v>
      </c>
      <c r="X14" s="482" t="e">
        <f ca="1">_xll.Get_Balance(X3,"YTD","USD","Total","A","","001",$A$3,"GD","WA","DL")</f>
        <v>#NAME?</v>
      </c>
      <c r="Y14" s="482" t="e">
        <f ca="1">_xll.Get_Balance(Y3,"YTD","USD","Total","A","","001",$A$3,"GD","WA","DL")</f>
        <v>#NAME?</v>
      </c>
      <c r="Z14" s="482" t="e">
        <f ca="1">_xll.Get_Balance(Z3,"YTD","USD","Total","A","","001",$A$3,"GD","WA","DL")</f>
        <v>#NAME?</v>
      </c>
      <c r="AA14" s="482" t="e">
        <f ca="1">_xll.Get_Balance(AA3,"YTD","USD","Total","A","","001",$A$3,"GD","WA","DL")</f>
        <v>#NAME?</v>
      </c>
      <c r="AB14" s="482" t="e">
        <f ca="1">_xll.Get_Balance(AB3,"YTD","USD","Total","A","","001",$A$3,"GD","WA","DL")</f>
        <v>#NAME?</v>
      </c>
      <c r="AC14" s="482" t="e">
        <f ca="1">_xll.Get_Balance(AC3,"YTD","USD","Total","A","","001",$A$3,"GD","WA","DL")</f>
        <v>#NAME?</v>
      </c>
      <c r="AD14" s="482" t="e">
        <f ca="1">_xll.Get_Balance(AD3,"YTD","USD","Total","A","","001",$A$3,"GD","WA","DL")</f>
        <v>#NAME?</v>
      </c>
      <c r="AE14" s="482" t="e">
        <f ca="1">_xll.Get_Balance(AE3,"YTD","USD","Total","A","","001",$A$3,"GD","WA","DL")</f>
        <v>#NAME?</v>
      </c>
      <c r="AF14" s="482" t="e">
        <f ca="1">_xll.Get_Balance(AF3,"YTD","USD","Total","A","","001",$A$3,"GD","WA","DL")</f>
        <v>#NAME?</v>
      </c>
    </row>
    <row r="15" spans="1:39">
      <c r="B15" s="481" t="s">
        <v>245</v>
      </c>
      <c r="E15" s="482" t="e">
        <f t="shared" ref="E15:H15" ca="1" si="25">E13-E14</f>
        <v>#NAME?</v>
      </c>
      <c r="F15" s="482" t="e">
        <f t="shared" ca="1" si="25"/>
        <v>#NAME?</v>
      </c>
      <c r="G15" s="482" t="e">
        <f t="shared" ca="1" si="25"/>
        <v>#NAME?</v>
      </c>
      <c r="H15" s="482" t="e">
        <f t="shared" ca="1" si="25"/>
        <v>#NAME?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 t="e">
        <f t="shared" ref="V15:AC15" ca="1" si="26">V13-V14</f>
        <v>#NAME?</v>
      </c>
      <c r="W15" s="482" t="e">
        <f t="shared" ca="1" si="26"/>
        <v>#NAME?</v>
      </c>
      <c r="X15" s="482" t="e">
        <f t="shared" ca="1" si="26"/>
        <v>#NAME?</v>
      </c>
      <c r="Y15" s="482" t="e">
        <f t="shared" ca="1" si="26"/>
        <v>#NAME?</v>
      </c>
      <c r="Z15" s="482" t="e">
        <f t="shared" ca="1" si="26"/>
        <v>#NAME?</v>
      </c>
      <c r="AA15" s="482" t="e">
        <f t="shared" ca="1" si="26"/>
        <v>#NAME?</v>
      </c>
      <c r="AB15" s="482" t="e">
        <f t="shared" ca="1" si="26"/>
        <v>#NAME?</v>
      </c>
      <c r="AC15" s="482" t="e">
        <f t="shared" ca="1" si="26"/>
        <v>#NAME?</v>
      </c>
      <c r="AD15" s="482" t="e">
        <f t="shared" ref="AD15:AF15" ca="1" si="27">AD13-AD14</f>
        <v>#NAME?</v>
      </c>
      <c r="AE15" s="482" t="e">
        <f t="shared" ca="1" si="27"/>
        <v>#NAME?</v>
      </c>
      <c r="AF15" s="482" t="e">
        <f t="shared" ca="1" si="27"/>
        <v>#NAME?</v>
      </c>
    </row>
    <row r="16" spans="1:39">
      <c r="A16" s="483" t="s">
        <v>268</v>
      </c>
    </row>
    <row r="17" spans="1:33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</row>
    <row r="18" spans="1:33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" si="28">U18+1</f>
        <v>201502</v>
      </c>
      <c r="W18" s="484">
        <f t="shared" ref="W18" si="29">V18+1</f>
        <v>201503</v>
      </c>
      <c r="X18" s="484">
        <f t="shared" ref="X18" si="30">W18+1</f>
        <v>201504</v>
      </c>
      <c r="Y18" s="484">
        <f t="shared" ref="Y18" si="31">X18+1</f>
        <v>201505</v>
      </c>
      <c r="Z18" s="484">
        <f t="shared" ref="Z18" si="32">Y18+1</f>
        <v>201506</v>
      </c>
      <c r="AA18" s="484">
        <f t="shared" ref="AA18" si="33">Z18+1</f>
        <v>201507</v>
      </c>
      <c r="AB18" s="484">
        <f t="shared" ref="AB18" si="34">AA18+1</f>
        <v>201508</v>
      </c>
      <c r="AC18" s="484">
        <f t="shared" ref="AC18" si="35">AB18+1</f>
        <v>201509</v>
      </c>
      <c r="AD18" s="484">
        <f t="shared" ref="AD18" si="36">AC18+1</f>
        <v>201510</v>
      </c>
      <c r="AE18" s="484">
        <f>AD18+1</f>
        <v>201511</v>
      </c>
      <c r="AF18" s="484">
        <f t="shared" ref="AF18" si="37">AE18+1</f>
        <v>201512</v>
      </c>
    </row>
    <row r="19" spans="1:33">
      <c r="A19" s="483"/>
      <c r="B19" s="481" t="s">
        <v>37</v>
      </c>
      <c r="C19" s="491">
        <f>SUM(U19:AF19)</f>
        <v>83964548</v>
      </c>
      <c r="D19" s="491">
        <f>SUM(S19:AD19)</f>
        <v>103469145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f>Feb!$G23</f>
        <v>13011547</v>
      </c>
      <c r="W19" s="543">
        <f>Mar!$G23</f>
        <v>10479005</v>
      </c>
      <c r="X19" s="543">
        <f>Apr!$G23</f>
        <v>7714478</v>
      </c>
      <c r="Y19" s="543">
        <f>May!$G23</f>
        <v>3297360</v>
      </c>
      <c r="Z19" s="543">
        <f>Jun!$G23</f>
        <v>1968489</v>
      </c>
      <c r="AA19" s="543">
        <f>Jul!$G23</f>
        <v>2145139</v>
      </c>
      <c r="AB19" s="543">
        <f>Aug!$G23</f>
        <v>1956853</v>
      </c>
      <c r="AC19" s="543">
        <f>Sep!$G23</f>
        <v>3273457</v>
      </c>
      <c r="AD19" s="543">
        <f>Oct!$G23</f>
        <v>4833518</v>
      </c>
      <c r="AE19" s="543">
        <f>Nov!$G23</f>
        <v>15375028</v>
      </c>
      <c r="AF19" s="543">
        <f>Dec!$G23</f>
        <v>0</v>
      </c>
    </row>
    <row r="20" spans="1:33">
      <c r="A20" s="483"/>
      <c r="B20" s="697" t="s">
        <v>351</v>
      </c>
      <c r="C20" s="491">
        <f>SUM(U20:AF20)</f>
        <v>3927</v>
      </c>
      <c r="D20" s="491">
        <f>SUM(S20:AD20)</f>
        <v>425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f>Oct!$G24</f>
        <v>425</v>
      </c>
      <c r="AE20" s="543">
        <f>Nov!$G24</f>
        <v>3502</v>
      </c>
      <c r="AF20" s="543"/>
    </row>
    <row r="21" spans="1:33">
      <c r="A21" s="483"/>
      <c r="B21" s="481" t="s">
        <v>38</v>
      </c>
      <c r="C21" s="491">
        <f t="shared" ref="C21:C28" si="38">SUM(U21:AF21)</f>
        <v>35336899</v>
      </c>
      <c r="D21" s="491">
        <f>SUM(S21:AD21)</f>
        <v>42020468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f>Feb!$G24</f>
        <v>5630395</v>
      </c>
      <c r="W21" s="543">
        <f>Mar!$G24</f>
        <v>4030672</v>
      </c>
      <c r="X21" s="543">
        <f>Apr!$G24</f>
        <v>3448422</v>
      </c>
      <c r="Y21" s="543">
        <f>May!$G24</f>
        <v>1901440</v>
      </c>
      <c r="Z21" s="543">
        <f>Jun!$G24</f>
        <v>1561904</v>
      </c>
      <c r="AA21" s="543">
        <f>Jul!$G24</f>
        <v>1323231</v>
      </c>
      <c r="AB21" s="543">
        <f>Aug!$G24</f>
        <v>1284422</v>
      </c>
      <c r="AC21" s="543">
        <f>Sep!$G24</f>
        <v>1854848</v>
      </c>
      <c r="AD21" s="543">
        <f>Oct!$G25</f>
        <v>2624293</v>
      </c>
      <c r="AE21" s="543">
        <f>Nov!$G25</f>
        <v>5503520</v>
      </c>
      <c r="AF21" s="543">
        <f>Dec!$G24</f>
        <v>0</v>
      </c>
    </row>
    <row r="22" spans="1:33" hidden="1">
      <c r="A22" s="483"/>
      <c r="B22" s="481" t="s">
        <v>39</v>
      </c>
      <c r="C22" s="491">
        <f t="shared" si="38"/>
        <v>0</v>
      </c>
      <c r="D22" s="491">
        <f t="shared" ref="D22:D26" si="39">SUM(G22:R22)</f>
        <v>0</v>
      </c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</row>
    <row r="23" spans="1:33">
      <c r="A23" s="483"/>
      <c r="B23" s="481" t="s">
        <v>40</v>
      </c>
      <c r="C23" s="491">
        <f t="shared" si="38"/>
        <v>4051936</v>
      </c>
      <c r="D23" s="491">
        <f>SUM(S23:AD23)</f>
        <v>4406434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f>Feb!$G26</f>
        <v>431734</v>
      </c>
      <c r="W23" s="543">
        <f>Mar!$G26</f>
        <v>335852</v>
      </c>
      <c r="X23" s="543">
        <f>Apr!$G26</f>
        <v>432834</v>
      </c>
      <c r="Y23" s="543">
        <f>May!$G26</f>
        <v>249954</v>
      </c>
      <c r="Z23" s="543">
        <f>Jun!$G26</f>
        <v>322862</v>
      </c>
      <c r="AA23" s="543">
        <f>Jul!$G26</f>
        <v>247078</v>
      </c>
      <c r="AB23" s="543">
        <f>Aug!$G26</f>
        <v>274690</v>
      </c>
      <c r="AC23" s="543">
        <f>Sep!$G26</f>
        <v>336073</v>
      </c>
      <c r="AD23" s="543">
        <f>Oct!$G27</f>
        <v>365802</v>
      </c>
      <c r="AE23" s="543">
        <f>Nov!$G27</f>
        <v>541377</v>
      </c>
      <c r="AF23" s="543">
        <f>Dec!$G26</f>
        <v>0</v>
      </c>
    </row>
    <row r="24" spans="1:33" hidden="1">
      <c r="A24" s="483"/>
      <c r="B24" s="481" t="s">
        <v>41</v>
      </c>
      <c r="C24" s="491">
        <f t="shared" si="38"/>
        <v>0</v>
      </c>
      <c r="D24" s="491">
        <f t="shared" si="39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</row>
    <row r="25" spans="1:33">
      <c r="A25" s="483"/>
      <c r="B25" s="481" t="s">
        <v>42</v>
      </c>
      <c r="C25" s="491">
        <f t="shared" si="38"/>
        <v>0</v>
      </c>
      <c r="D25" s="491">
        <f>SUM(S25:AD25)</f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f>Feb!$G28</f>
        <v>0</v>
      </c>
      <c r="W25" s="543">
        <f>Mar!$G28</f>
        <v>0</v>
      </c>
      <c r="X25" s="543">
        <f>Apr!$G28</f>
        <v>0</v>
      </c>
      <c r="Y25" s="543">
        <f>May!$G28</f>
        <v>0</v>
      </c>
      <c r="Z25" s="543">
        <f>Jun!$G28</f>
        <v>0</v>
      </c>
      <c r="AA25" s="543">
        <f>Jul!$G28</f>
        <v>0</v>
      </c>
      <c r="AB25" s="543">
        <f>Aug!$G28</f>
        <v>0</v>
      </c>
      <c r="AC25" s="543">
        <f>Sep!$G28</f>
        <v>0</v>
      </c>
      <c r="AD25" s="543">
        <f>Oct!$G29</f>
        <v>0</v>
      </c>
      <c r="AE25" s="543">
        <f>Nov!$G29</f>
        <v>0</v>
      </c>
      <c r="AF25" s="543">
        <f>Dec!$G28</f>
        <v>0</v>
      </c>
    </row>
    <row r="26" spans="1:33" hidden="1">
      <c r="A26" s="483"/>
      <c r="B26" s="481" t="s">
        <v>43</v>
      </c>
      <c r="C26" s="491">
        <f t="shared" si="38"/>
        <v>0</v>
      </c>
      <c r="D26" s="491">
        <f t="shared" si="39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</row>
    <row r="27" spans="1:33">
      <c r="A27" s="483"/>
      <c r="B27" s="481" t="s">
        <v>74</v>
      </c>
      <c r="C27" s="491">
        <f t="shared" si="38"/>
        <v>26235211</v>
      </c>
      <c r="D27" s="491">
        <f>SUM(S27:AD27)</f>
        <v>29448444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f>Feb!$G30</f>
        <v>2735718</v>
      </c>
      <c r="W27" s="543">
        <f>Mar!$G30</f>
        <v>2608561</v>
      </c>
      <c r="X27" s="543">
        <f>Apr!$G30</f>
        <v>2436951</v>
      </c>
      <c r="Y27" s="543">
        <f>May!$G30</f>
        <v>2203136</v>
      </c>
      <c r="Z27" s="543">
        <f>Jun!$G30</f>
        <v>1941783</v>
      </c>
      <c r="AA27" s="543">
        <f>Jul!$G30</f>
        <v>1912819</v>
      </c>
      <c r="AB27" s="543">
        <f>Aug!$G30</f>
        <v>1943542</v>
      </c>
      <c r="AC27" s="543">
        <f>Sep!$G30</f>
        <v>1945064</v>
      </c>
      <c r="AD27" s="543">
        <f>Oct!$G31</f>
        <v>2201297</v>
      </c>
      <c r="AE27" s="543">
        <f>Nov!$G31</f>
        <v>3020174</v>
      </c>
      <c r="AF27" s="543">
        <f>Dec!$G30</f>
        <v>0</v>
      </c>
    </row>
    <row r="28" spans="1:33" ht="16" thickBot="1">
      <c r="A28" s="483"/>
      <c r="B28" s="481" t="s">
        <v>21</v>
      </c>
      <c r="C28" s="491">
        <f t="shared" si="38"/>
        <v>149592521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40">SUM(G19:G27)</f>
        <v>24054373</v>
      </c>
      <c r="H28" s="542">
        <f t="shared" si="40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F28" si="41">SUM(V19:V27)</f>
        <v>21809394</v>
      </c>
      <c r="W28" s="542">
        <f t="shared" si="41"/>
        <v>17454090</v>
      </c>
      <c r="X28" s="542">
        <f t="shared" si="41"/>
        <v>14032685</v>
      </c>
      <c r="Y28" s="542">
        <f t="shared" si="41"/>
        <v>7651890</v>
      </c>
      <c r="Z28" s="542">
        <f t="shared" si="41"/>
        <v>5795038</v>
      </c>
      <c r="AA28" s="542">
        <f t="shared" si="41"/>
        <v>5628267</v>
      </c>
      <c r="AB28" s="542">
        <f t="shared" si="41"/>
        <v>5459507</v>
      </c>
      <c r="AC28" s="542">
        <f t="shared" si="41"/>
        <v>7409442</v>
      </c>
      <c r="AD28" s="542">
        <f t="shared" si="41"/>
        <v>10025335</v>
      </c>
      <c r="AE28" s="542">
        <f t="shared" si="41"/>
        <v>24443601</v>
      </c>
      <c r="AF28" s="542">
        <f t="shared" si="41"/>
        <v>0</v>
      </c>
    </row>
    <row r="29" spans="1:33" ht="16" thickTop="1">
      <c r="A29" s="483"/>
      <c r="B29" s="481" t="s">
        <v>269</v>
      </c>
      <c r="C29" s="491">
        <f>SUM(U29:AF29)</f>
        <v>149592521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691">
        <v>5459507</v>
      </c>
      <c r="AC29" s="491">
        <v>7409442</v>
      </c>
      <c r="AD29" s="491">
        <v>10025335</v>
      </c>
      <c r="AE29" s="491">
        <v>24443601</v>
      </c>
      <c r="AF29" s="491"/>
      <c r="AG29" s="491"/>
    </row>
    <row r="30" spans="1:33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</row>
    <row r="31" spans="1:33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" si="42">U31+1</f>
        <v>201502</v>
      </c>
      <c r="W31" s="484">
        <f t="shared" ref="W31" si="43">V31+1</f>
        <v>201503</v>
      </c>
      <c r="X31" s="484">
        <f t="shared" ref="X31" si="44">W31+1</f>
        <v>201504</v>
      </c>
      <c r="Y31" s="484">
        <f t="shared" ref="Y31" si="45">X31+1</f>
        <v>201505</v>
      </c>
      <c r="Z31" s="484">
        <f t="shared" ref="Z31" si="46">Y31+1</f>
        <v>201506</v>
      </c>
      <c r="AA31" s="484">
        <f t="shared" ref="AA31" si="47">Z31+1</f>
        <v>201507</v>
      </c>
      <c r="AB31" s="484">
        <f t="shared" ref="AB31" si="48">AA31+1</f>
        <v>201508</v>
      </c>
      <c r="AC31" s="484">
        <f t="shared" ref="AC31" si="49">AB31+1</f>
        <v>201509</v>
      </c>
      <c r="AD31" s="484">
        <f t="shared" ref="AD31" si="50">AC31+1</f>
        <v>201510</v>
      </c>
      <c r="AE31" s="484">
        <f>AD31+1</f>
        <v>201511</v>
      </c>
      <c r="AF31" s="484">
        <f t="shared" ref="AF31" si="51">AE31+1</f>
        <v>201512</v>
      </c>
    </row>
    <row r="32" spans="1:33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270</v>
      </c>
      <c r="AF32" s="496" t="s">
        <v>270</v>
      </c>
    </row>
    <row r="33" spans="1:39">
      <c r="A33" s="483"/>
      <c r="B33" s="697" t="s">
        <v>352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696">
        <v>1.436E-2</v>
      </c>
      <c r="AE33" s="496" t="s">
        <v>270</v>
      </c>
      <c r="AF33" s="496"/>
    </row>
    <row r="34" spans="1:39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270</v>
      </c>
      <c r="AF34" s="496" t="s">
        <v>270</v>
      </c>
    </row>
    <row r="35" spans="1:39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</row>
    <row r="36" spans="1:39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270</v>
      </c>
      <c r="AF36" s="496" t="s">
        <v>270</v>
      </c>
    </row>
    <row r="37" spans="1:39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</row>
    <row r="38" spans="1:39" ht="16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270</v>
      </c>
      <c r="AF38" s="496" t="s">
        <v>270</v>
      </c>
    </row>
    <row r="39" spans="1:39" ht="16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 t="s">
        <v>270</v>
      </c>
      <c r="AH39" s="483"/>
      <c r="AI39" s="484"/>
      <c r="AJ39" s="483"/>
      <c r="AK39" s="483"/>
      <c r="AL39" s="483"/>
      <c r="AM39" s="483"/>
    </row>
    <row r="40" spans="1:39" ht="16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270</v>
      </c>
      <c r="AF40" s="496" t="s">
        <v>270</v>
      </c>
      <c r="AH40" s="513">
        <f>AH4</f>
        <v>201511</v>
      </c>
      <c r="AI40" s="526"/>
      <c r="AJ40" s="514"/>
      <c r="AK40" s="514"/>
      <c r="AL40" s="514"/>
      <c r="AM40" s="515"/>
    </row>
    <row r="41" spans="1:39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H41" s="497" t="s">
        <v>298</v>
      </c>
      <c r="AI41" s="527">
        <v>419600</v>
      </c>
      <c r="AJ41" s="498" t="s">
        <v>288</v>
      </c>
      <c r="AK41" s="498" t="s">
        <v>289</v>
      </c>
      <c r="AL41" s="519">
        <v>0</v>
      </c>
      <c r="AM41" s="520">
        <f>IF(SUMIF(E42:AF42,AH40,E46:AF46)&gt;0,SUMIF(E42:AF42,AH40,E46:AF46),0)</f>
        <v>0</v>
      </c>
    </row>
    <row r="42" spans="1:39" s="483" customFormat="1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" si="52">U42+1</f>
        <v>201502</v>
      </c>
      <c r="W42" s="484">
        <f t="shared" ref="W42" si="53">V42+1</f>
        <v>201503</v>
      </c>
      <c r="X42" s="484">
        <f t="shared" ref="X42" si="54">W42+1</f>
        <v>201504</v>
      </c>
      <c r="Y42" s="484">
        <f t="shared" ref="Y42" si="55">X42+1</f>
        <v>201505</v>
      </c>
      <c r="Z42" s="484">
        <f t="shared" ref="Z42" si="56">Y42+1</f>
        <v>201506</v>
      </c>
      <c r="AA42" s="484">
        <f t="shared" ref="AA42" si="57">Z42+1</f>
        <v>201507</v>
      </c>
      <c r="AB42" s="484">
        <f t="shared" ref="AB42" si="58">AA42+1</f>
        <v>201508</v>
      </c>
      <c r="AC42" s="484">
        <f t="shared" ref="AC42" si="59">AB42+1</f>
        <v>201509</v>
      </c>
      <c r="AD42" s="484">
        <f t="shared" ref="AD42" si="60">AC42+1</f>
        <v>201510</v>
      </c>
      <c r="AE42" s="484">
        <f>AD42+1</f>
        <v>201511</v>
      </c>
      <c r="AF42" s="484">
        <f t="shared" ref="AF42" si="61">AE42+1</f>
        <v>201512</v>
      </c>
      <c r="AH42" s="499" t="s">
        <v>299</v>
      </c>
      <c r="AI42" s="528">
        <v>431600</v>
      </c>
      <c r="AJ42" s="358" t="s">
        <v>288</v>
      </c>
      <c r="AK42" s="358" t="s">
        <v>289</v>
      </c>
      <c r="AL42" s="381">
        <f>IF(SUMIF(E42:AF42,AH40,E46:AF46)&lt;0,-SUMIF(E42:AF42,AH40,E46:AF46),0)</f>
        <v>8708.8880708105207</v>
      </c>
      <c r="AM42" s="500">
        <v>0</v>
      </c>
    </row>
    <row r="43" spans="1:39" s="483" customFormat="1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H43" s="499" t="s">
        <v>300</v>
      </c>
      <c r="AI43" s="528">
        <v>191000</v>
      </c>
      <c r="AJ43" s="358" t="s">
        <v>288</v>
      </c>
      <c r="AK43" s="358" t="s">
        <v>289</v>
      </c>
      <c r="AL43" s="381">
        <f>IF((SUMIF(E42:AF42,AH40,E45:AF45)+SUMIF(E42:AF42,AH40,E46:AF46))&gt;0,(SUMIF(E42:AF42,AH40,E45:AF45)+SUMIF(E42:AF42,AH40,E46:AF46)),0)</f>
        <v>448387.11192918947</v>
      </c>
      <c r="AM43" s="500">
        <f>IF((SUMIF(E42:AF42,AH40,E45:AF45)+SUMIF(E42:AF42,AH40,E46:AF46))&lt;0,-(SUMIF(E42:AF42,AH40,E45:AF45)+SUMIF(E42:AF42,AH40,E46:AF46)),0)</f>
        <v>0</v>
      </c>
    </row>
    <row r="44" spans="1:39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f>U49</f>
        <v>-1203520.6941716045</v>
      </c>
      <c r="W44" s="482">
        <f t="shared" ref="W44" si="62">V49</f>
        <v>-978605.01769356499</v>
      </c>
      <c r="X44" s="482">
        <f t="shared" ref="X44" si="63">W49</f>
        <v>-801445.32791263924</v>
      </c>
      <c r="Y44" s="482">
        <f t="shared" ref="Y44" si="64">X49</f>
        <v>-669275.24177190254</v>
      </c>
      <c r="Z44" s="482">
        <f t="shared" ref="Z44" si="65">Y49</f>
        <v>-610882.24266902648</v>
      </c>
      <c r="AA44" s="482">
        <f t="shared" ref="AA44" si="66">Z49</f>
        <v>-574943.04011245095</v>
      </c>
      <c r="AB44" s="482">
        <f t="shared" ref="AB44" si="67">AA49</f>
        <v>-537511.27700320142</v>
      </c>
      <c r="AC44" s="482">
        <f t="shared" ref="AC44" si="68">AB49</f>
        <v>-503286.03358886426</v>
      </c>
      <c r="AD44" s="482">
        <f t="shared" ref="AD44" si="69">AC49</f>
        <v>-446057.56644618412</v>
      </c>
      <c r="AE44" s="482">
        <f>AD49</f>
        <v>-360318.05653003836</v>
      </c>
      <c r="AF44" s="482">
        <f t="shared" ref="AF44" si="70">AE49</f>
        <v>-2966848.8846008489</v>
      </c>
      <c r="AH44" s="499" t="s">
        <v>301</v>
      </c>
      <c r="AI44" s="528">
        <v>805110</v>
      </c>
      <c r="AJ44" s="358" t="s">
        <v>288</v>
      </c>
      <c r="AK44" s="358" t="s">
        <v>289</v>
      </c>
      <c r="AL44" s="381">
        <f>IF((SUMIF(E42:AF42,AH40,E45:AF45))&lt;0,-(SUMIF(E42:AF42,AH40,E45:AF45)),0)</f>
        <v>0</v>
      </c>
      <c r="AM44" s="500">
        <f>IF((SUMIF(E42:AF42,AH40,E45:AF45))&gt;0,(SUMIF(E42:AF42,AH40,E45:AF45)),0)</f>
        <v>457096</v>
      </c>
    </row>
    <row r="45" spans="1:39">
      <c r="B45" s="481" t="s">
        <v>23</v>
      </c>
      <c r="C45" s="482">
        <f>SUM(U45:AF45)</f>
        <v>1646731.9212799999</v>
      </c>
      <c r="D45" s="494">
        <f>SUM(S45:AD45)</f>
        <v>1760074.6374300001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f>SUMPRODUCT(V19:V27,V32:V40)</f>
        <v>227866.64228000003</v>
      </c>
      <c r="W45" s="482">
        <f t="shared" ref="W45:X45" si="71">SUMPRODUCT(W19:W27,W32:W40)</f>
        <v>179566.91484000001</v>
      </c>
      <c r="X45" s="482">
        <f t="shared" si="71"/>
        <v>134158.99359999999</v>
      </c>
      <c r="Y45" s="482">
        <f>SUMPRODUCT(Y19:Y27,Y32:Y40)</f>
        <v>60124.201359999999</v>
      </c>
      <c r="Z45" s="482">
        <f t="shared" ref="Z45:AD45" si="72">SUMPRODUCT(Z19:Z27,Z32:Z40)</f>
        <v>37542.836040000002</v>
      </c>
      <c r="AA45" s="482">
        <f t="shared" si="72"/>
        <v>38936.174440000003</v>
      </c>
      <c r="AB45" s="482">
        <f t="shared" si="72"/>
        <v>35632.750439999996</v>
      </c>
      <c r="AC45" s="482">
        <f t="shared" si="72"/>
        <v>58512.29808</v>
      </c>
      <c r="AD45" s="482">
        <f t="shared" si="72"/>
        <v>86830.000200000009</v>
      </c>
      <c r="AE45" s="482">
        <v>457096</v>
      </c>
      <c r="AF45" s="563"/>
      <c r="AH45" s="153" t="s">
        <v>156</v>
      </c>
      <c r="AI45" s="209">
        <f>AI43</f>
        <v>191000</v>
      </c>
      <c r="AJ45" s="209" t="str">
        <f t="shared" ref="AJ45:AK45" si="73">AJ43</f>
        <v>GD</v>
      </c>
      <c r="AK45" s="209" t="str">
        <f t="shared" si="73"/>
        <v>WA</v>
      </c>
      <c r="AL45" s="472">
        <f>AE48</f>
        <v>57802.89</v>
      </c>
      <c r="AM45" s="462">
        <v>0</v>
      </c>
    </row>
    <row r="46" spans="1:39" ht="16" thickBot="1">
      <c r="B46" s="481" t="s">
        <v>4</v>
      </c>
      <c r="C46" s="482">
        <f t="shared" ref="C46:C48" si="74">SUM(U46:AF46)</f>
        <v>-36565.854199778238</v>
      </c>
      <c r="D46" s="494">
        <f>SUM(S46:AD46)</f>
        <v>-30028.287843070095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f t="shared" ref="V46:AD46" si="75">((V44*(V43/12))+((V45/2)*(V43/12)))</f>
        <v>-2950.9658019605959</v>
      </c>
      <c r="W46" s="489">
        <f>((W44*(W43/12))+((W45/2)*(W43/12)))</f>
        <v>-2407.2250590742387</v>
      </c>
      <c r="X46" s="489">
        <f t="shared" si="75"/>
        <v>-1988.9074592633983</v>
      </c>
      <c r="Y46" s="489">
        <f t="shared" si="75"/>
        <v>-1731.2022571239027</v>
      </c>
      <c r="Z46" s="489">
        <f t="shared" si="75"/>
        <v>-1603.6334834244467</v>
      </c>
      <c r="AA46" s="489">
        <f t="shared" si="75"/>
        <v>-1504.4113307503878</v>
      </c>
      <c r="AB46" s="489">
        <f t="shared" si="75"/>
        <v>-1407.5070256628373</v>
      </c>
      <c r="AC46" s="489">
        <f t="shared" si="75"/>
        <v>-1283.8309373198406</v>
      </c>
      <c r="AD46" s="489">
        <f t="shared" si="75"/>
        <v>-1090.4902838542487</v>
      </c>
      <c r="AE46" s="489">
        <f>((AE44+AE47)*(AE43/12))+(((AE45+AE48)/2)*(AE43/12))</f>
        <v>-8708.8880708105207</v>
      </c>
      <c r="AF46" s="560">
        <f>((AF44+AF47)*(AF43/12))+(((AF45+AF48)/2)*(AF43/12))</f>
        <v>-8191.7652228772995</v>
      </c>
      <c r="AH46" s="154" t="str">
        <f>AH45</f>
        <v>Large Customer Refund</v>
      </c>
      <c r="AI46" s="561">
        <f>AI44</f>
        <v>805110</v>
      </c>
      <c r="AJ46" s="561" t="str">
        <f t="shared" ref="AJ46:AK46" si="76">AJ44</f>
        <v>GD</v>
      </c>
      <c r="AK46" s="561" t="str">
        <f t="shared" si="76"/>
        <v>WA</v>
      </c>
      <c r="AL46" s="464">
        <f>AM45</f>
        <v>0</v>
      </c>
      <c r="AM46" s="473">
        <f>AL45</f>
        <v>57802.89</v>
      </c>
    </row>
    <row r="47" spans="1:39" ht="16" thickBot="1">
      <c r="B47" s="481" t="s">
        <v>259</v>
      </c>
      <c r="C47" s="482">
        <f t="shared" si="74"/>
        <v>-3112720.83</v>
      </c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563">
        <v>0</v>
      </c>
      <c r="AH47" s="516"/>
      <c r="AI47" s="530"/>
      <c r="AJ47" s="517"/>
      <c r="AK47" s="517"/>
      <c r="AL47" s="517" t="s">
        <v>159</v>
      </c>
      <c r="AM47" s="518">
        <f>SUM(AL41:AL46)-SUM(AM41:AM46)</f>
        <v>0</v>
      </c>
    </row>
    <row r="48" spans="1:39">
      <c r="B48" s="481" t="s">
        <v>148</v>
      </c>
      <c r="C48" s="482">
        <f t="shared" si="74"/>
        <v>-57802.89</v>
      </c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563">
        <f>-AE48*2</f>
        <v>-115605.78</v>
      </c>
    </row>
    <row r="49" spans="1:38" ht="16" thickBot="1">
      <c r="B49" s="481" t="s">
        <v>56</v>
      </c>
      <c r="C49" s="541">
        <f>SUM(C45:C48)</f>
        <v>-1560357.6529197784</v>
      </c>
      <c r="D49" s="541"/>
      <c r="E49" s="541">
        <f>SUM(E44:E48)</f>
        <v>-46035.360287444513</v>
      </c>
      <c r="F49" s="541">
        <f t="shared" ref="F49" si="77">SUM(F44:F48)</f>
        <v>404885.58467682183</v>
      </c>
      <c r="G49" s="541">
        <f t="shared" ref="G49" si="78">SUM(G44:G48)</f>
        <v>1486369.5928734979</v>
      </c>
      <c r="H49" s="541">
        <f t="shared" ref="H49" si="79">SUM(H44:H48)</f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E49" si="80">SUM(V44:V48)</f>
        <v>-978605.01769356499</v>
      </c>
      <c r="W49" s="541">
        <f t="shared" si="80"/>
        <v>-801445.32791263924</v>
      </c>
      <c r="X49" s="541">
        <f t="shared" si="80"/>
        <v>-669275.24177190254</v>
      </c>
      <c r="Y49" s="541">
        <f t="shared" si="80"/>
        <v>-610882.24266902648</v>
      </c>
      <c r="Z49" s="541">
        <f t="shared" si="80"/>
        <v>-574943.04011245095</v>
      </c>
      <c r="AA49" s="541">
        <f t="shared" si="80"/>
        <v>-537511.27700320142</v>
      </c>
      <c r="AB49" s="541">
        <f t="shared" si="80"/>
        <v>-503286.03358886426</v>
      </c>
      <c r="AC49" s="541">
        <f t="shared" si="80"/>
        <v>-446057.56644618412</v>
      </c>
      <c r="AD49" s="541">
        <f t="shared" si="80"/>
        <v>-360318.05653003836</v>
      </c>
      <c r="AE49" s="541">
        <f t="shared" si="80"/>
        <v>-2966848.8846008489</v>
      </c>
      <c r="AF49" s="541">
        <f t="shared" ref="AF49" si="81">SUM(AF44:AF48)</f>
        <v>-3090646.4298237259</v>
      </c>
    </row>
    <row r="50" spans="1:38" ht="16" thickTop="1">
      <c r="B50" s="481" t="s">
        <v>260</v>
      </c>
      <c r="E50" s="482" t="e">
        <f ca="1">_xll.Get_Balance(E42,"YTD","USD","Total","A","","001",$A$42,"GD","WA","DL")</f>
        <v>#NAME?</v>
      </c>
      <c r="F50" s="482" t="e">
        <f ca="1">_xll.Get_Balance(F42,"YTD","USD","Total","A","","001",$A$42,"GD","WA","DL")</f>
        <v>#NAME?</v>
      </c>
      <c r="G50" s="482" t="e">
        <f ca="1">_xll.Get_Balance(G42,"YTD","USD","Total","A","","001",$A$42,"GD","WA","DL")</f>
        <v>#NAME?</v>
      </c>
      <c r="H50" s="482" t="e">
        <f ca="1">_xll.Get_Balance(H42,"YTD","USD","Total","A","","001",$A$42,"GD","WA","DL")</f>
        <v>#NAME?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 t="e">
        <f ca="1">_xll.Get_Balance(V42,"YTD","USD","Total","A","","001",$A$42,"GD","WA","DL")</f>
        <v>#NAME?</v>
      </c>
      <c r="W50" s="482" t="e">
        <f ca="1">_xll.Get_Balance(W42,"YTD","USD","Total","A","","001",$A$42,"GD","WA","DL")</f>
        <v>#NAME?</v>
      </c>
      <c r="X50" s="482" t="e">
        <f ca="1">_xll.Get_Balance(X42,"YTD","USD","Total","A","","001",$A$42,"GD","WA","DL")</f>
        <v>#NAME?</v>
      </c>
      <c r="Y50" s="482" t="e">
        <f ca="1">_xll.Get_Balance(Y42,"YTD","USD","Total","A","","001",$A$42,"GD","WA","DL")</f>
        <v>#NAME?</v>
      </c>
      <c r="Z50" s="482" t="e">
        <f ca="1">_xll.Get_Balance(Z42,"YTD","USD","Total","A","","001",$A$42,"GD","WA","DL")</f>
        <v>#NAME?</v>
      </c>
      <c r="AA50" s="482" t="e">
        <f ca="1">_xll.Get_Balance(AA42,"YTD","USD","Total","A","","001",$A$42,"GD","WA","DL")</f>
        <v>#NAME?</v>
      </c>
      <c r="AB50" s="482" t="e">
        <f ca="1">_xll.Get_Balance(AB42,"YTD","USD","Total","A","","001",$A$42,"GD","WA","DL")</f>
        <v>#NAME?</v>
      </c>
      <c r="AC50" s="482" t="e">
        <f ca="1">_xll.Get_Balance(AC42,"YTD","USD","Total","A","","001",$A$42,"GD","WA","DL")</f>
        <v>#NAME?</v>
      </c>
      <c r="AD50" s="482" t="e">
        <f ca="1">_xll.Get_Balance(AD42,"YTD","USD","Total","A","","001",$A$42,"GD","WA","DL")</f>
        <v>#NAME?</v>
      </c>
      <c r="AE50" s="482" t="e">
        <f ca="1">_xll.Get_Balance(AE42,"YTD","USD","Total","A","","001",$A$42,"GD","WA","DL")</f>
        <v>#NAME?</v>
      </c>
      <c r="AF50" s="482" t="e">
        <f ca="1">_xll.Get_Balance(AF42,"YTD","USD","Total","A","","001",$A$42,"GD","WA","DL")</f>
        <v>#NAME?</v>
      </c>
      <c r="AL50" s="563"/>
    </row>
    <row r="51" spans="1:38">
      <c r="B51" s="481" t="s">
        <v>245</v>
      </c>
      <c r="E51" s="482" t="e">
        <f t="shared" ref="E51:H51" ca="1" si="82">E49-E50</f>
        <v>#NAME?</v>
      </c>
      <c r="F51" s="482" t="e">
        <f t="shared" ca="1" si="82"/>
        <v>#NAME?</v>
      </c>
      <c r="G51" s="482" t="e">
        <f t="shared" ca="1" si="82"/>
        <v>#NAME?</v>
      </c>
      <c r="H51" s="482" t="e">
        <f t="shared" ca="1" si="82"/>
        <v>#NAME?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 t="e">
        <f t="shared" ref="V51:AD51" ca="1" si="83">V49-V50</f>
        <v>#NAME?</v>
      </c>
      <c r="W51" s="482" t="e">
        <f t="shared" ca="1" si="83"/>
        <v>#NAME?</v>
      </c>
      <c r="X51" s="482" t="e">
        <f t="shared" ca="1" si="83"/>
        <v>#NAME?</v>
      </c>
      <c r="Y51" s="482" t="e">
        <f t="shared" ca="1" si="83"/>
        <v>#NAME?</v>
      </c>
      <c r="Z51" s="482" t="e">
        <f t="shared" ca="1" si="83"/>
        <v>#NAME?</v>
      </c>
      <c r="AA51" s="482" t="e">
        <f t="shared" ca="1" si="83"/>
        <v>#NAME?</v>
      </c>
      <c r="AB51" s="482" t="e">
        <f t="shared" ca="1" si="83"/>
        <v>#NAME?</v>
      </c>
      <c r="AC51" s="482" t="e">
        <f t="shared" ca="1" si="83"/>
        <v>#NAME?</v>
      </c>
      <c r="AD51" s="482" t="e">
        <f t="shared" ca="1" si="83"/>
        <v>#NAME?</v>
      </c>
      <c r="AE51" s="482" t="e">
        <f t="shared" ref="AE51:AF51" ca="1" si="84">AE49-AE50</f>
        <v>#NAME?</v>
      </c>
      <c r="AF51" s="482" t="e">
        <f t="shared" ca="1" si="84"/>
        <v>#NAME?</v>
      </c>
    </row>
    <row r="53" spans="1:38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</row>
    <row r="54" spans="1:38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" si="85">U54+1</f>
        <v>201502</v>
      </c>
      <c r="W54" s="484">
        <f t="shared" ref="W54" si="86">V54+1</f>
        <v>201503</v>
      </c>
      <c r="X54" s="484">
        <f t="shared" ref="X54" si="87">W54+1</f>
        <v>201504</v>
      </c>
      <c r="Y54" s="484">
        <f t="shared" ref="Y54" si="88">X54+1</f>
        <v>201505</v>
      </c>
      <c r="Z54" s="484">
        <f t="shared" ref="Z54" si="89">Y54+1</f>
        <v>201506</v>
      </c>
      <c r="AA54" s="484">
        <f t="shared" ref="AA54" si="90">Z54+1</f>
        <v>201507</v>
      </c>
      <c r="AB54" s="484">
        <f t="shared" ref="AB54" si="91">AA54+1</f>
        <v>201508</v>
      </c>
      <c r="AC54" s="484">
        <f t="shared" ref="AC54" si="92">AB54+1</f>
        <v>201509</v>
      </c>
      <c r="AD54" s="484">
        <f t="shared" ref="AD54" si="93">AC54+1</f>
        <v>201510</v>
      </c>
      <c r="AE54" s="484">
        <f>AD54+1</f>
        <v>201511</v>
      </c>
      <c r="AF54" s="484">
        <f t="shared" ref="AF54" si="94">AE54+1</f>
        <v>201512</v>
      </c>
      <c r="AL54" s="563"/>
    </row>
    <row r="55" spans="1:38">
      <c r="A55" s="483"/>
      <c r="B55" s="481" t="s">
        <v>37</v>
      </c>
      <c r="C55" s="491">
        <f>SUM(U55:AF55)</f>
        <v>83964548</v>
      </c>
      <c r="D55" s="491">
        <f t="shared" ref="D55:D65" si="95">SUM(S55:AD55)</f>
        <v>103469145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f>Feb!$G23</f>
        <v>13011547</v>
      </c>
      <c r="W55" s="543">
        <f>Mar!$G23</f>
        <v>10479005</v>
      </c>
      <c r="X55" s="543">
        <f>Apr!$G23</f>
        <v>7714478</v>
      </c>
      <c r="Y55" s="543">
        <f>May!$G23</f>
        <v>3297360</v>
      </c>
      <c r="Z55" s="543">
        <f>Jun!$G23</f>
        <v>1968489</v>
      </c>
      <c r="AA55" s="543">
        <f>Jul!$G23</f>
        <v>2145139</v>
      </c>
      <c r="AB55" s="543">
        <f>Aug!$G23</f>
        <v>1956853</v>
      </c>
      <c r="AC55" s="543">
        <f>Sep!$G23</f>
        <v>3273457</v>
      </c>
      <c r="AD55" s="543">
        <f>Oct!$G23</f>
        <v>4833518</v>
      </c>
      <c r="AE55" s="543">
        <f>Nov!$G23</f>
        <v>15375028</v>
      </c>
      <c r="AF55" s="543">
        <f>Dec!$G23</f>
        <v>0</v>
      </c>
    </row>
    <row r="56" spans="1:38">
      <c r="A56" s="483"/>
      <c r="B56" s="697" t="s">
        <v>351</v>
      </c>
      <c r="C56" s="491">
        <f>SUM(U56:AF56)</f>
        <v>3927</v>
      </c>
      <c r="D56" s="491">
        <f t="shared" si="95"/>
        <v>425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f>Oct!$G24</f>
        <v>425</v>
      </c>
      <c r="AE56" s="543">
        <f>Nov!$G24</f>
        <v>3502</v>
      </c>
      <c r="AF56" s="543"/>
    </row>
    <row r="57" spans="1:38">
      <c r="A57" s="483"/>
      <c r="B57" s="481" t="s">
        <v>38</v>
      </c>
      <c r="C57" s="491">
        <f t="shared" ref="C57:C64" si="96">SUM(U57:AF57)</f>
        <v>35336899</v>
      </c>
      <c r="D57" s="491">
        <f t="shared" si="95"/>
        <v>42020468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f>Feb!$G24</f>
        <v>5630395</v>
      </c>
      <c r="W57" s="543">
        <f>Mar!$G24</f>
        <v>4030672</v>
      </c>
      <c r="X57" s="543">
        <f>Apr!$G24</f>
        <v>3448422</v>
      </c>
      <c r="Y57" s="543">
        <f>May!$G24</f>
        <v>1901440</v>
      </c>
      <c r="Z57" s="543">
        <f>Jun!$G24</f>
        <v>1561904</v>
      </c>
      <c r="AA57" s="543">
        <f>Jul!$G24</f>
        <v>1323231</v>
      </c>
      <c r="AB57" s="543">
        <f>Aug!$G24</f>
        <v>1284422</v>
      </c>
      <c r="AC57" s="543">
        <f>Sep!$G24</f>
        <v>1854848</v>
      </c>
      <c r="AD57" s="543">
        <f>Oct!$G25</f>
        <v>2624293</v>
      </c>
      <c r="AE57" s="543">
        <f>Nov!$G25</f>
        <v>5503520</v>
      </c>
      <c r="AF57" s="543">
        <f>Dec!$G24</f>
        <v>0</v>
      </c>
    </row>
    <row r="58" spans="1:38">
      <c r="A58" s="483"/>
      <c r="B58" s="481" t="s">
        <v>39</v>
      </c>
      <c r="C58" s="491">
        <f t="shared" si="96"/>
        <v>0</v>
      </c>
      <c r="D58" s="491">
        <f t="shared" si="95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f>Feb!$G25</f>
        <v>0</v>
      </c>
      <c r="W58" s="543">
        <f>Mar!$G25</f>
        <v>0</v>
      </c>
      <c r="X58" s="543">
        <f>Apr!$G25</f>
        <v>0</v>
      </c>
      <c r="Y58" s="543">
        <f>May!$G25</f>
        <v>0</v>
      </c>
      <c r="Z58" s="543">
        <f>Jun!$G25</f>
        <v>0</v>
      </c>
      <c r="AA58" s="543">
        <f>Jul!$G25</f>
        <v>0</v>
      </c>
      <c r="AB58" s="543">
        <f>Aug!$G25</f>
        <v>0</v>
      </c>
      <c r="AC58" s="543">
        <f>Sep!$G25</f>
        <v>0</v>
      </c>
      <c r="AD58" s="543">
        <f>Oct!$G26</f>
        <v>0</v>
      </c>
      <c r="AE58" s="543">
        <f>Nov!$G26</f>
        <v>0</v>
      </c>
      <c r="AF58" s="543">
        <f>Dec!$G25</f>
        <v>0</v>
      </c>
    </row>
    <row r="59" spans="1:38">
      <c r="A59" s="483"/>
      <c r="B59" s="481" t="s">
        <v>40</v>
      </c>
      <c r="C59" s="491">
        <f t="shared" si="96"/>
        <v>4051936</v>
      </c>
      <c r="D59" s="491">
        <f t="shared" si="95"/>
        <v>4406434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f>Feb!$G26</f>
        <v>431734</v>
      </c>
      <c r="W59" s="543">
        <f>Mar!$G26</f>
        <v>335852</v>
      </c>
      <c r="X59" s="543">
        <f>Apr!$G26</f>
        <v>432834</v>
      </c>
      <c r="Y59" s="543">
        <f>May!$G26</f>
        <v>249954</v>
      </c>
      <c r="Z59" s="543">
        <f>Jun!$G26</f>
        <v>322862</v>
      </c>
      <c r="AA59" s="543">
        <f>Jul!$G26</f>
        <v>247078</v>
      </c>
      <c r="AB59" s="543">
        <f>Aug!$G26</f>
        <v>274690</v>
      </c>
      <c r="AC59" s="543">
        <f>Sep!$G26</f>
        <v>336073</v>
      </c>
      <c r="AD59" s="543">
        <f>Oct!$G27</f>
        <v>365802</v>
      </c>
      <c r="AE59" s="543">
        <f>Nov!$G27</f>
        <v>541377</v>
      </c>
      <c r="AF59" s="543">
        <f>Dec!$G26</f>
        <v>0</v>
      </c>
    </row>
    <row r="60" spans="1:38">
      <c r="A60" s="483"/>
      <c r="B60" s="481" t="s">
        <v>41</v>
      </c>
      <c r="C60" s="491">
        <f t="shared" si="96"/>
        <v>504443</v>
      </c>
      <c r="D60" s="491">
        <f t="shared" si="95"/>
        <v>577713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f>Feb!$G27</f>
        <v>68846</v>
      </c>
      <c r="W60" s="543">
        <f>Mar!$G27</f>
        <v>57610</v>
      </c>
      <c r="X60" s="543">
        <f>Apr!$G27</f>
        <v>49631</v>
      </c>
      <c r="Y60" s="543">
        <f>May!$G27</f>
        <v>46984</v>
      </c>
      <c r="Z60" s="543">
        <f>Jun!$G27</f>
        <v>30135</v>
      </c>
      <c r="AA60" s="543">
        <f>Jul!$G27</f>
        <v>28317</v>
      </c>
      <c r="AB60" s="543">
        <f>Aug!$G27</f>
        <v>27313</v>
      </c>
      <c r="AC60" s="543">
        <f>Sep!$G27</f>
        <v>29790</v>
      </c>
      <c r="AD60" s="543">
        <f>Oct!$G28</f>
        <v>36487</v>
      </c>
      <c r="AE60" s="543">
        <f>Nov!$G28</f>
        <v>47656</v>
      </c>
      <c r="AF60" s="543">
        <f>Dec!$G27</f>
        <v>0</v>
      </c>
    </row>
    <row r="61" spans="1:38">
      <c r="A61" s="483"/>
      <c r="B61" s="481" t="s">
        <v>42</v>
      </c>
      <c r="C61" s="491">
        <f t="shared" si="96"/>
        <v>0</v>
      </c>
      <c r="D61" s="491">
        <f t="shared" si="95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f>Feb!$G28</f>
        <v>0</v>
      </c>
      <c r="W61" s="543">
        <f>Mar!$G28</f>
        <v>0</v>
      </c>
      <c r="X61" s="543">
        <f>Apr!$G28</f>
        <v>0</v>
      </c>
      <c r="Y61" s="543">
        <f>May!$G28</f>
        <v>0</v>
      </c>
      <c r="Z61" s="543">
        <f>Jun!$G28</f>
        <v>0</v>
      </c>
      <c r="AA61" s="543">
        <f>Jul!$G28</f>
        <v>0</v>
      </c>
      <c r="AB61" s="543">
        <f>Aug!$G28</f>
        <v>0</v>
      </c>
      <c r="AC61" s="543">
        <f>Sep!$G28</f>
        <v>0</v>
      </c>
      <c r="AD61" s="543">
        <f>Oct!$G29</f>
        <v>0</v>
      </c>
      <c r="AE61" s="543">
        <f>Nov!$G29</f>
        <v>0</v>
      </c>
      <c r="AF61" s="543">
        <f>Dec!$G28</f>
        <v>0</v>
      </c>
    </row>
    <row r="62" spans="1:38">
      <c r="A62" s="483"/>
      <c r="B62" s="481" t="s">
        <v>43</v>
      </c>
      <c r="C62" s="491">
        <f t="shared" si="96"/>
        <v>871865</v>
      </c>
      <c r="D62" s="491">
        <f t="shared" si="95"/>
        <v>977215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f>Feb!$G29</f>
        <v>123377</v>
      </c>
      <c r="W62" s="543">
        <f>Mar!$G29</f>
        <v>100117</v>
      </c>
      <c r="X62" s="543">
        <f>Apr!$G29</f>
        <v>81076</v>
      </c>
      <c r="Y62" s="543">
        <f>May!$G29</f>
        <v>83536</v>
      </c>
      <c r="Z62" s="543">
        <f>Jun!$G29</f>
        <v>56511</v>
      </c>
      <c r="AA62" s="543">
        <f>Jul!$G29</f>
        <v>13364</v>
      </c>
      <c r="AB62" s="543">
        <f>Aug!$G29</f>
        <v>68158</v>
      </c>
      <c r="AC62" s="543">
        <f>Sep!$G29</f>
        <v>45470</v>
      </c>
      <c r="AD62" s="543">
        <f>Oct!$G30</f>
        <v>96224</v>
      </c>
      <c r="AE62" s="543">
        <f>Nov!$G30</f>
        <v>74781</v>
      </c>
      <c r="AF62" s="543">
        <f>Dec!$G29</f>
        <v>0</v>
      </c>
    </row>
    <row r="63" spans="1:38">
      <c r="A63" s="483"/>
      <c r="B63" s="481" t="s">
        <v>74</v>
      </c>
      <c r="C63" s="491">
        <f t="shared" si="96"/>
        <v>26235211</v>
      </c>
      <c r="D63" s="491">
        <f t="shared" si="95"/>
        <v>29448444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f>Feb!$G30</f>
        <v>2735718</v>
      </c>
      <c r="W63" s="543">
        <f>Mar!$G30</f>
        <v>2608561</v>
      </c>
      <c r="X63" s="543">
        <f>Apr!$G30</f>
        <v>2436951</v>
      </c>
      <c r="Y63" s="543">
        <f>May!$G30</f>
        <v>2203136</v>
      </c>
      <c r="Z63" s="543">
        <f>Jun!$G30</f>
        <v>1941783</v>
      </c>
      <c r="AA63" s="543">
        <f>Jul!$G30</f>
        <v>1912819</v>
      </c>
      <c r="AB63" s="543">
        <f>Aug!$G30</f>
        <v>1943542</v>
      </c>
      <c r="AC63" s="543">
        <f>Sep!$G30</f>
        <v>1945064</v>
      </c>
      <c r="AD63" s="543">
        <f>Oct!$G31</f>
        <v>2201297</v>
      </c>
      <c r="AE63" s="543">
        <f>Nov!$G31</f>
        <v>3020174</v>
      </c>
      <c r="AF63" s="543">
        <f>Dec!$G30</f>
        <v>0</v>
      </c>
    </row>
    <row r="64" spans="1:38" ht="16" thickBot="1">
      <c r="A64" s="483"/>
      <c r="B64" s="481" t="s">
        <v>21</v>
      </c>
      <c r="C64" s="542">
        <f t="shared" si="96"/>
        <v>150968829</v>
      </c>
      <c r="D64" s="542">
        <f t="shared" si="95"/>
        <v>180899844</v>
      </c>
      <c r="E64" s="542">
        <f>SUM(E55:E63)</f>
        <v>6495675</v>
      </c>
      <c r="F64" s="542">
        <f>SUM(F55:F63)</f>
        <v>16361170</v>
      </c>
      <c r="G64" s="542">
        <f t="shared" ref="G64" si="97">SUM(G55:G63)</f>
        <v>24248041</v>
      </c>
      <c r="H64" s="542">
        <f t="shared" ref="H64" si="98">SUM(H55:H63)</f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" si="99">SUM(V55:V63)</f>
        <v>22001617</v>
      </c>
      <c r="W64" s="542">
        <f t="shared" ref="W64:AF64" si="100">SUM(W55:W63)</f>
        <v>17611817</v>
      </c>
      <c r="X64" s="542">
        <f t="shared" si="100"/>
        <v>14163392</v>
      </c>
      <c r="Y64" s="542">
        <f t="shared" si="100"/>
        <v>7782410</v>
      </c>
      <c r="Z64" s="542">
        <f t="shared" si="100"/>
        <v>5881684</v>
      </c>
      <c r="AA64" s="542">
        <f t="shared" si="100"/>
        <v>5669948</v>
      </c>
      <c r="AB64" s="542">
        <f t="shared" si="100"/>
        <v>5554978</v>
      </c>
      <c r="AC64" s="542">
        <f t="shared" si="100"/>
        <v>7484702</v>
      </c>
      <c r="AD64" s="542">
        <f t="shared" si="100"/>
        <v>10158046</v>
      </c>
      <c r="AE64" s="542">
        <f t="shared" si="100"/>
        <v>24566038</v>
      </c>
      <c r="AF64" s="542">
        <f t="shared" si="100"/>
        <v>0</v>
      </c>
    </row>
    <row r="65" spans="1:39" ht="16" thickTop="1">
      <c r="A65" s="483"/>
      <c r="B65" s="481" t="s">
        <v>269</v>
      </c>
      <c r="C65" s="491">
        <f>SUM(U65:AF65)</f>
        <v>150968829</v>
      </c>
      <c r="D65" s="491">
        <f t="shared" si="95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f>Mar!G32</f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691">
        <v>5554978</v>
      </c>
      <c r="AC65" s="491">
        <v>7484702</v>
      </c>
      <c r="AD65" s="491">
        <v>10158046</v>
      </c>
      <c r="AE65" s="491">
        <v>24566038</v>
      </c>
      <c r="AF65" s="491"/>
      <c r="AG65" s="491"/>
    </row>
    <row r="66" spans="1:39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I66" s="539"/>
    </row>
    <row r="67" spans="1:39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" si="101">U67+1</f>
        <v>201502</v>
      </c>
      <c r="W67" s="484">
        <f t="shared" ref="W67" si="102">V67+1</f>
        <v>201503</v>
      </c>
      <c r="X67" s="484">
        <f t="shared" ref="X67" si="103">W67+1</f>
        <v>201504</v>
      </c>
      <c r="Y67" s="484">
        <f t="shared" ref="Y67" si="104">X67+1</f>
        <v>201505</v>
      </c>
      <c r="Z67" s="484">
        <f t="shared" ref="Z67" si="105">Y67+1</f>
        <v>201506</v>
      </c>
      <c r="AA67" s="484">
        <f t="shared" ref="AA67" si="106">Z67+1</f>
        <v>201507</v>
      </c>
      <c r="AB67" s="484">
        <f t="shared" ref="AB67" si="107">AA67+1</f>
        <v>201508</v>
      </c>
      <c r="AC67" s="484">
        <f t="shared" ref="AC67" si="108">AB67+1</f>
        <v>201509</v>
      </c>
      <c r="AD67" s="484">
        <f t="shared" ref="AD67" si="109">AC67+1</f>
        <v>201510</v>
      </c>
      <c r="AE67" s="484">
        <f>AD67+1</f>
        <v>201511</v>
      </c>
      <c r="AF67" s="484">
        <f t="shared" ref="AF67" si="110">AE67+1</f>
        <v>201512</v>
      </c>
    </row>
    <row r="68" spans="1:39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270</v>
      </c>
      <c r="AF68" s="496" t="s">
        <v>270</v>
      </c>
    </row>
    <row r="69" spans="1:39">
      <c r="A69" s="483"/>
      <c r="B69" s="697" t="s">
        <v>351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696">
        <v>2.5000000000000001E-4</v>
      </c>
      <c r="AE69" s="496" t="s">
        <v>270</v>
      </c>
      <c r="AF69" s="496"/>
    </row>
    <row r="70" spans="1:39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270</v>
      </c>
      <c r="AF70" s="496" t="s">
        <v>270</v>
      </c>
    </row>
    <row r="71" spans="1:39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270</v>
      </c>
      <c r="AF71" s="496" t="s">
        <v>270</v>
      </c>
    </row>
    <row r="72" spans="1:39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270</v>
      </c>
      <c r="AF72" s="496" t="s">
        <v>270</v>
      </c>
    </row>
    <row r="73" spans="1:39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270</v>
      </c>
      <c r="AF73" s="496" t="s">
        <v>270</v>
      </c>
    </row>
    <row r="74" spans="1:39" ht="16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270</v>
      </c>
      <c r="AF74" s="496" t="s">
        <v>270</v>
      </c>
    </row>
    <row r="75" spans="1:39" ht="16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270</v>
      </c>
      <c r="AF75" s="496" t="s">
        <v>270</v>
      </c>
      <c r="AH75" s="522">
        <f>AH4</f>
        <v>201511</v>
      </c>
      <c r="AI75" s="531"/>
      <c r="AJ75" s="523"/>
      <c r="AK75" s="523"/>
      <c r="AL75" s="523"/>
      <c r="AM75" s="524"/>
    </row>
    <row r="76" spans="1:39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270</v>
      </c>
      <c r="AF76" s="496" t="s">
        <v>270</v>
      </c>
      <c r="AH76" s="499" t="s">
        <v>302</v>
      </c>
      <c r="AI76" s="528">
        <v>191025</v>
      </c>
      <c r="AJ76" s="358" t="s">
        <v>288</v>
      </c>
      <c r="AK76" s="358" t="s">
        <v>289</v>
      </c>
      <c r="AL76" s="381">
        <f>IF((SUMIF(U78:AF78,AH75,U80:AF80))&gt;0,(SUMIF(U78:AF78,AH75,U80:AF80)),0)</f>
        <v>1791</v>
      </c>
      <c r="AM76" s="500">
        <f>IF((SUMIF(U78:AF78,AH75,U80:AF80))&lt;0,-(SUMIF(U78:AF78,AH75,U80:AF80)),0)</f>
        <v>0</v>
      </c>
    </row>
    <row r="77" spans="1:39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H77" s="499" t="s">
        <v>303</v>
      </c>
      <c r="AI77" s="528">
        <v>805110</v>
      </c>
      <c r="AJ77" s="358" t="s">
        <v>288</v>
      </c>
      <c r="AK77" s="358" t="s">
        <v>289</v>
      </c>
      <c r="AL77" s="381">
        <f>IF((SUMIF(U78:AF78,AH75,U80:AF80))&lt;0,-(SUMIF(U78:AF78,AH75,U80:AF80)),0)</f>
        <v>0</v>
      </c>
      <c r="AM77" s="500">
        <f>IF((SUMIF(U78:AF78,AH75,U80:AF80))&gt;0,(SUMIF(U78:AF78,AH75,U80:AF80)),0)</f>
        <v>1791</v>
      </c>
    </row>
    <row r="78" spans="1:39" s="483" customFormat="1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" si="111">U78+1</f>
        <v>201502</v>
      </c>
      <c r="W78" s="484">
        <f t="shared" ref="W78" si="112">V78+1</f>
        <v>201503</v>
      </c>
      <c r="X78" s="484">
        <f t="shared" ref="X78" si="113">W78+1</f>
        <v>201504</v>
      </c>
      <c r="Y78" s="484">
        <f t="shared" ref="Y78" si="114">X78+1</f>
        <v>201505</v>
      </c>
      <c r="Z78" s="484">
        <f t="shared" ref="Z78" si="115">Y78+1</f>
        <v>201506</v>
      </c>
      <c r="AA78" s="484">
        <f t="shared" ref="AA78" si="116">Z78+1</f>
        <v>201507</v>
      </c>
      <c r="AB78" s="484">
        <f t="shared" ref="AB78" si="117">AA78+1</f>
        <v>201508</v>
      </c>
      <c r="AC78" s="484">
        <f t="shared" ref="AC78" si="118">AB78+1</f>
        <v>201509</v>
      </c>
      <c r="AD78" s="484">
        <f t="shared" ref="AD78" si="119">AC78+1</f>
        <v>201510</v>
      </c>
      <c r="AE78" s="484">
        <f>AD78+1</f>
        <v>201511</v>
      </c>
      <c r="AF78" s="484">
        <f t="shared" ref="AF78" si="120">AE78+1</f>
        <v>201512</v>
      </c>
      <c r="AH78" s="499" t="s">
        <v>273</v>
      </c>
      <c r="AI78" s="528"/>
      <c r="AJ78" s="358"/>
      <c r="AK78" s="358"/>
      <c r="AL78" s="381">
        <v>0</v>
      </c>
      <c r="AM78" s="500">
        <v>0</v>
      </c>
    </row>
    <row r="79" spans="1:39" ht="16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f>U82</f>
        <v>-43064.021250000013</v>
      </c>
      <c r="W79" s="482">
        <f t="shared" ref="W79" si="121">V82</f>
        <v>-38138.117780000015</v>
      </c>
      <c r="X79" s="482">
        <f t="shared" ref="X79" si="122">W82</f>
        <v>-34282.961340000016</v>
      </c>
      <c r="Y79" s="482">
        <f t="shared" ref="Y79" si="123">X82</f>
        <v>-31253.873050000017</v>
      </c>
      <c r="Z79" s="482">
        <f t="shared" ref="Z79" si="124">Y82</f>
        <v>-29770.929110000015</v>
      </c>
      <c r="AA79" s="482">
        <f t="shared" ref="AA79" si="125">Z82</f>
        <v>-28708.282540000015</v>
      </c>
      <c r="AB79" s="482">
        <f t="shared" ref="AB79" si="126">AA82</f>
        <v>-27692.487530000013</v>
      </c>
      <c r="AC79" s="482">
        <f t="shared" ref="AC79" si="127">AB82</f>
        <v>-26711.886850000014</v>
      </c>
      <c r="AD79" s="482">
        <f t="shared" ref="AD79" si="128">AC82</f>
        <v>-25249.174790000012</v>
      </c>
      <c r="AE79" s="482">
        <f>AD82</f>
        <v>-23171.93566000001</v>
      </c>
      <c r="AF79" s="482">
        <f>AE82</f>
        <v>-21380.93566000001</v>
      </c>
      <c r="AH79" s="501" t="s">
        <v>273</v>
      </c>
      <c r="AI79" s="529"/>
      <c r="AJ79" s="502"/>
      <c r="AK79" s="502"/>
      <c r="AL79" s="503">
        <v>0</v>
      </c>
      <c r="AM79" s="521">
        <v>0</v>
      </c>
    </row>
    <row r="80" spans="1:39" ht="16" thickBot="1">
      <c r="B80" s="481" t="s">
        <v>23</v>
      </c>
      <c r="C80" s="482">
        <f>SUM(U80:AF80)</f>
        <v>28516.539980000009</v>
      </c>
      <c r="D80" s="494">
        <f>SUM(S80:AD80)</f>
        <v>38305.546770000008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f t="shared" ref="V80:AD80" si="129">SUMPRODUCT(V55:V63,V68:V76)</f>
        <v>4925.9034700000011</v>
      </c>
      <c r="W80" s="482">
        <f t="shared" si="129"/>
        <v>3855.1564400000007</v>
      </c>
      <c r="X80" s="482">
        <f t="shared" si="129"/>
        <v>3029.0882899999997</v>
      </c>
      <c r="Y80" s="482">
        <f t="shared" si="129"/>
        <v>1482.9439400000001</v>
      </c>
      <c r="Z80" s="482">
        <f t="shared" si="129"/>
        <v>1062.6465700000001</v>
      </c>
      <c r="AA80" s="482">
        <f t="shared" si="129"/>
        <v>1015.7950099999999</v>
      </c>
      <c r="AB80" s="482">
        <f t="shared" si="129"/>
        <v>980.60068000000001</v>
      </c>
      <c r="AC80" s="482">
        <f t="shared" si="129"/>
        <v>1462.7120600000003</v>
      </c>
      <c r="AD80" s="482">
        <f t="shared" si="129"/>
        <v>2077.2391300000004</v>
      </c>
      <c r="AE80" s="563">
        <v>1791</v>
      </c>
      <c r="AF80" s="563"/>
      <c r="AH80" s="516"/>
      <c r="AI80" s="530"/>
      <c r="AJ80" s="517"/>
      <c r="AK80" s="517"/>
      <c r="AL80" s="517" t="s">
        <v>159</v>
      </c>
      <c r="AM80" s="518">
        <f>SUM(AL76:AL79)-SUM(AM76:AM79)</f>
        <v>0</v>
      </c>
    </row>
    <row r="81" spans="2:32">
      <c r="B81" s="481" t="s">
        <v>148</v>
      </c>
      <c r="C81" s="482">
        <f>SUM(I81:T81)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0</v>
      </c>
    </row>
    <row r="82" spans="2:32" ht="16" thickBot="1">
      <c r="B82" s="481" t="s">
        <v>56</v>
      </c>
      <c r="C82" s="541">
        <f>SUM(C80:C81)</f>
        <v>28516.539980000009</v>
      </c>
      <c r="D82" s="541"/>
      <c r="E82" s="541">
        <f t="shared" ref="E82:H82" si="130">SUM(E79:E81)</f>
        <v>38932.729789999998</v>
      </c>
      <c r="F82" s="541">
        <f t="shared" si="130"/>
        <v>8140.2385399999985</v>
      </c>
      <c r="G82" s="541">
        <f t="shared" si="130"/>
        <v>-693.68146000000161</v>
      </c>
      <c r="H82" s="541">
        <f t="shared" si="130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F82" si="131">SUM(V79:V81)</f>
        <v>-38138.117780000015</v>
      </c>
      <c r="W82" s="541">
        <f t="shared" si="131"/>
        <v>-34282.961340000016</v>
      </c>
      <c r="X82" s="541">
        <f t="shared" si="131"/>
        <v>-31253.873050000017</v>
      </c>
      <c r="Y82" s="541">
        <f t="shared" si="131"/>
        <v>-29770.929110000015</v>
      </c>
      <c r="Z82" s="541">
        <f t="shared" si="131"/>
        <v>-28708.282540000015</v>
      </c>
      <c r="AA82" s="541">
        <f t="shared" si="131"/>
        <v>-27692.487530000013</v>
      </c>
      <c r="AB82" s="541">
        <f t="shared" si="131"/>
        <v>-26711.886850000014</v>
      </c>
      <c r="AC82" s="541">
        <f t="shared" si="131"/>
        <v>-25249.174790000012</v>
      </c>
      <c r="AD82" s="541">
        <f t="shared" si="131"/>
        <v>-23171.93566000001</v>
      </c>
      <c r="AE82" s="541">
        <f t="shared" si="131"/>
        <v>-21380.93566000001</v>
      </c>
      <c r="AF82" s="541">
        <f t="shared" si="131"/>
        <v>-21380.93566000001</v>
      </c>
    </row>
    <row r="83" spans="2:32" ht="16" thickTop="1">
      <c r="B83" s="481" t="s">
        <v>260</v>
      </c>
      <c r="E83" s="482" t="e">
        <f ca="1">_xll.Get_Balance(E78,"YTD","USD","Total","A","","001",$A$78,"GD","WA","DL")</f>
        <v>#NAME?</v>
      </c>
      <c r="F83" s="482" t="e">
        <f ca="1">_xll.Get_Balance(F78,"YTD","USD","Total","A","","001",$A$78,"GD","WA","DL")</f>
        <v>#NAME?</v>
      </c>
      <c r="G83" s="482" t="e">
        <f ca="1">_xll.Get_Balance(G78,"YTD","USD","Total","A","","001",$A$78,"GD","WA","DL")</f>
        <v>#NAME?</v>
      </c>
      <c r="H83" s="482" t="e">
        <f ca="1">_xll.Get_Balance(H78,"YTD","USD","Total","A","","001",$A$78,"GD","WA","DL")</f>
        <v>#NAME?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 t="e">
        <f ca="1">_xll.Get_Balance(V78,"YTD","USD","Total","A","","001",$A$78,"GD","WA","DL")</f>
        <v>#NAME?</v>
      </c>
      <c r="W83" s="482" t="e">
        <f ca="1">_xll.Get_Balance(W78,"YTD","USD","Total","A","","001",$A$78,"GD","WA","DL")</f>
        <v>#NAME?</v>
      </c>
      <c r="X83" s="482" t="e">
        <f ca="1">_xll.Get_Balance(X78,"YTD","USD","Total","A","","001",$A$78,"GD","WA","DL")</f>
        <v>#NAME?</v>
      </c>
      <c r="Y83" s="482" t="e">
        <f ca="1">_xll.Get_Balance(Y78,"YTD","USD","Total","A","","001",$A$78,"GD","WA","DL")</f>
        <v>#NAME?</v>
      </c>
      <c r="Z83" s="482" t="e">
        <f ca="1">_xll.Get_Balance(Z78,"YTD","USD","Total","A","","001",$A$78,"GD","WA","DL")</f>
        <v>#NAME?</v>
      </c>
      <c r="AA83" s="482" t="e">
        <f ca="1">_xll.Get_Balance(AA78,"YTD","USD","Total","A","","001",$A$78,"GD","WA","DL")</f>
        <v>#NAME?</v>
      </c>
      <c r="AB83" s="482" t="e">
        <f ca="1">_xll.Get_Balance(AB78,"YTD","USD","Total","A","","001",$A$78,"GD","WA","DL")</f>
        <v>#NAME?</v>
      </c>
      <c r="AC83" s="482" t="e">
        <f ca="1">_xll.Get_Balance(AC78,"YTD","USD","Total","A","","001",$A$78,"GD","WA","DL")</f>
        <v>#NAME?</v>
      </c>
      <c r="AD83" s="482" t="e">
        <f ca="1">_xll.Get_Balance(AD78,"YTD","USD","Total","A","","001",$A$78,"GD","WA","DL")</f>
        <v>#NAME?</v>
      </c>
      <c r="AE83" s="482" t="e">
        <f ca="1">_xll.Get_Balance(AE78,"YTD","USD","Total","A","","001",$A$78,"GD","WA","DL")</f>
        <v>#NAME?</v>
      </c>
      <c r="AF83" s="482" t="e">
        <f ca="1">_xll.Get_Balance(AF78,"YTD","USD","Total","A","","001",$A$78,"GD","WA","DL")</f>
        <v>#NAME?</v>
      </c>
    </row>
    <row r="84" spans="2:32">
      <c r="B84" s="481" t="s">
        <v>245</v>
      </c>
      <c r="E84" s="482" t="e">
        <f t="shared" ref="E84:H84" ca="1" si="132">E82-E83</f>
        <v>#NAME?</v>
      </c>
      <c r="F84" s="482" t="e">
        <f t="shared" ca="1" si="132"/>
        <v>#NAME?</v>
      </c>
      <c r="G84" s="482" t="e">
        <f t="shared" ca="1" si="132"/>
        <v>#NAME?</v>
      </c>
      <c r="H84" s="482" t="e">
        <f t="shared" ca="1" si="132"/>
        <v>#NAME?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 t="e">
        <f t="shared" ref="V84" ca="1" si="133">V82-V83</f>
        <v>#NAME?</v>
      </c>
      <c r="W84" s="482" t="e">
        <f t="shared" ref="W84:AF84" ca="1" si="134">W82-W83</f>
        <v>#NAME?</v>
      </c>
      <c r="X84" s="482" t="e">
        <f t="shared" ca="1" si="134"/>
        <v>#NAME?</v>
      </c>
      <c r="Y84" s="482" t="e">
        <f t="shared" ca="1" si="134"/>
        <v>#NAME?</v>
      </c>
      <c r="Z84" s="482" t="e">
        <f t="shared" ca="1" si="134"/>
        <v>#NAME?</v>
      </c>
      <c r="AA84" s="482" t="e">
        <f t="shared" ca="1" si="134"/>
        <v>#NAME?</v>
      </c>
      <c r="AB84" s="482" t="e">
        <f t="shared" ca="1" si="134"/>
        <v>#NAME?</v>
      </c>
      <c r="AC84" s="482" t="e">
        <f t="shared" ca="1" si="134"/>
        <v>#NAME?</v>
      </c>
      <c r="AD84" s="482" t="e">
        <f t="shared" ca="1" si="134"/>
        <v>#NAME?</v>
      </c>
      <c r="AE84" s="482" t="e">
        <f t="shared" ca="1" si="134"/>
        <v>#NAME?</v>
      </c>
      <c r="AF84" s="482" t="e">
        <f t="shared" ca="1" si="134"/>
        <v>#NAME?</v>
      </c>
    </row>
  </sheetData>
  <conditionalFormatting sqref="E29 K29:AG29 L65:AG65">
    <cfRule type="cellIs" dxfId="684" priority="32" operator="notEqual">
      <formula>E28</formula>
    </cfRule>
  </conditionalFormatting>
  <conditionalFormatting sqref="F29">
    <cfRule type="cellIs" dxfId="683" priority="31" operator="notEqual">
      <formula>F28</formula>
    </cfRule>
  </conditionalFormatting>
  <conditionalFormatting sqref="G29">
    <cfRule type="cellIs" dxfId="682" priority="30" operator="notEqual">
      <formula>G28</formula>
    </cfRule>
  </conditionalFormatting>
  <conditionalFormatting sqref="H29">
    <cfRule type="cellIs" dxfId="681" priority="29" operator="notEqual">
      <formula>H28</formula>
    </cfRule>
  </conditionalFormatting>
  <conditionalFormatting sqref="G65">
    <cfRule type="cellIs" dxfId="680" priority="24" operator="notEqual">
      <formula>G64</formula>
    </cfRule>
  </conditionalFormatting>
  <conditionalFormatting sqref="H65">
    <cfRule type="cellIs" dxfId="679" priority="23" operator="notEqual">
      <formula>H64</formula>
    </cfRule>
  </conditionalFormatting>
  <conditionalFormatting sqref="E65">
    <cfRule type="cellIs" dxfId="678" priority="26" operator="notEqual">
      <formula>E64</formula>
    </cfRule>
  </conditionalFormatting>
  <conditionalFormatting sqref="F65">
    <cfRule type="cellIs" dxfId="677" priority="25" operator="notEqual">
      <formula>F64</formula>
    </cfRule>
  </conditionalFormatting>
  <conditionalFormatting sqref="AM80 AM47 AM11">
    <cfRule type="cellIs" dxfId="676" priority="20" operator="notEqual">
      <formula>0</formula>
    </cfRule>
  </conditionalFormatting>
  <conditionalFormatting sqref="D65">
    <cfRule type="cellIs" dxfId="675" priority="16" operator="notEqual">
      <formula>D64</formula>
    </cfRule>
  </conditionalFormatting>
  <conditionalFormatting sqref="C65">
    <cfRule type="cellIs" dxfId="674" priority="15" operator="notEqual">
      <formula>C64</formula>
    </cfRule>
  </conditionalFormatting>
  <conditionalFormatting sqref="D29">
    <cfRule type="cellIs" dxfId="673" priority="14" operator="notEqual">
      <formula>D28</formula>
    </cfRule>
  </conditionalFormatting>
  <conditionalFormatting sqref="C29">
    <cfRule type="cellIs" dxfId="672" priority="13" operator="notEqual">
      <formula>C28</formula>
    </cfRule>
  </conditionalFormatting>
  <conditionalFormatting sqref="I29">
    <cfRule type="cellIs" dxfId="671" priority="12" operator="notEqual">
      <formula>I28</formula>
    </cfRule>
  </conditionalFormatting>
  <conditionalFormatting sqref="I65">
    <cfRule type="cellIs" dxfId="670" priority="11" operator="notEqual">
      <formula>I64</formula>
    </cfRule>
  </conditionalFormatting>
  <conditionalFormatting sqref="J29">
    <cfRule type="cellIs" dxfId="669" priority="10" operator="notEqual">
      <formula>J28</formula>
    </cfRule>
  </conditionalFormatting>
  <conditionalFormatting sqref="J65">
    <cfRule type="cellIs" dxfId="668" priority="9" operator="notEqual">
      <formula>J64</formula>
    </cfRule>
  </conditionalFormatting>
  <conditionalFormatting sqref="K65">
    <cfRule type="cellIs" dxfId="667" priority="7" operator="notEqual">
      <formula>K64</formula>
    </cfRule>
  </conditionalFormatting>
  <conditionalFormatting sqref="U29">
    <cfRule type="cellIs" dxfId="666" priority="5" operator="notEqual">
      <formula>U28</formula>
    </cfRule>
  </conditionalFormatting>
  <conditionalFormatting sqref="U65">
    <cfRule type="cellIs" dxfId="665" priority="4" operator="notEqual">
      <formula>U64</formula>
    </cfRule>
  </conditionalFormatting>
  <conditionalFormatting sqref="V29">
    <cfRule type="cellIs" dxfId="664" priority="3" operator="notEqual">
      <formula>V28</formula>
    </cfRule>
  </conditionalFormatting>
  <conditionalFormatting sqref="V65">
    <cfRule type="cellIs" dxfId="663" priority="2" operator="notEqual">
      <formula>V64</formula>
    </cfRule>
  </conditionalFormatting>
  <conditionalFormatting sqref="W65">
    <cfRule type="cellIs" dxfId="662" priority="1" operator="notEqual">
      <formula>W64</formula>
    </cfRule>
  </conditionalFormatting>
  <pageMargins left="0" right="0" top="0.75" bottom="0.75" header="0.3" footer="0.3"/>
  <pageSetup scale="34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rgb="FF00CC66"/>
    <pageSetUpPr fitToPage="1"/>
  </sheetPr>
  <dimension ref="A1:AO93"/>
  <sheetViews>
    <sheetView tabSelected="1" topLeftCell="S1" zoomScale="89" zoomScaleNormal="89" zoomScaleSheetLayoutView="85" workbookViewId="0">
      <selection activeCell="AE76" sqref="AE76"/>
    </sheetView>
  </sheetViews>
  <sheetFormatPr defaultColWidth="9.09765625" defaultRowHeight="15.5"/>
  <cols>
    <col min="1" max="1" width="16.69921875" style="482" customWidth="1"/>
    <col min="2" max="2" width="25.296875" style="481" bestFit="1" customWidth="1"/>
    <col min="3" max="3" width="16.296875" style="482" bestFit="1" customWidth="1"/>
    <col min="4" max="4" width="16.09765625" style="482" customWidth="1"/>
    <col min="5" max="6" width="16.3984375" style="482" hidden="1" customWidth="1"/>
    <col min="7" max="7" width="16.296875" style="482" hidden="1" customWidth="1"/>
    <col min="8" max="9" width="18.3984375" style="482" hidden="1" customWidth="1"/>
    <col min="10" max="12" width="16.296875" style="482" hidden="1" customWidth="1"/>
    <col min="13" max="13" width="16.8984375" style="482" hidden="1" customWidth="1"/>
    <col min="14" max="18" width="16.296875" style="482" hidden="1" customWidth="1"/>
    <col min="19" max="20" width="16.296875" style="482" customWidth="1"/>
    <col min="21" max="21" width="18.3984375" style="482" customWidth="1"/>
    <col min="22" max="23" width="16.296875" style="482" customWidth="1"/>
    <col min="24" max="24" width="16.69921875" style="482" customWidth="1"/>
    <col min="25" max="25" width="16.8984375" style="482" customWidth="1"/>
    <col min="26" max="31" width="16.296875" style="482" customWidth="1"/>
    <col min="32" max="32" width="16.296875" style="482" hidden="1" customWidth="1"/>
    <col min="33" max="33" width="1.59765625" style="482" customWidth="1"/>
    <col min="34" max="34" width="36.296875" style="482" bestFit="1" customWidth="1"/>
    <col min="35" max="35" width="15.59765625" style="525" bestFit="1" customWidth="1"/>
    <col min="36" max="36" width="4.69921875" style="482" bestFit="1" customWidth="1"/>
    <col min="37" max="37" width="3.3984375" style="482" bestFit="1" customWidth="1"/>
    <col min="38" max="39" width="17.09765625" style="482" bestFit="1" customWidth="1"/>
    <col min="40" max="40" width="0.59765625" style="482" customWidth="1"/>
    <col min="41" max="16384" width="9.09765625" style="482"/>
  </cols>
  <sheetData>
    <row r="1" spans="1:39">
      <c r="A1" s="480" t="s">
        <v>265</v>
      </c>
      <c r="AH1" s="480" t="s">
        <v>315</v>
      </c>
    </row>
    <row r="2" spans="1:39">
      <c r="A2" s="483" t="s">
        <v>267</v>
      </c>
    </row>
    <row r="3" spans="1:39" s="483" customFormat="1" ht="31.5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" si="0">U3+1</f>
        <v>201502</v>
      </c>
      <c r="W3" s="484">
        <f t="shared" ref="W3" si="1">V3+1</f>
        <v>201503</v>
      </c>
      <c r="X3" s="484">
        <f t="shared" ref="X3" si="2">W3+1</f>
        <v>201504</v>
      </c>
      <c r="Y3" s="484">
        <f t="shared" ref="Y3" si="3">X3+1</f>
        <v>201505</v>
      </c>
      <c r="Z3" s="484">
        <f t="shared" ref="Z3" si="4">Y3+1</f>
        <v>201506</v>
      </c>
      <c r="AA3" s="484">
        <f t="shared" ref="AA3" si="5">Z3+1</f>
        <v>201507</v>
      </c>
      <c r="AB3" s="484">
        <f t="shared" ref="AB3" si="6">AA3+1</f>
        <v>201508</v>
      </c>
      <c r="AC3" s="484">
        <f t="shared" ref="AC3" si="7">AB3+1</f>
        <v>201509</v>
      </c>
      <c r="AD3" s="484">
        <f t="shared" ref="AD3" si="8">AC3+1</f>
        <v>201510</v>
      </c>
      <c r="AE3" s="484">
        <f t="shared" ref="AE3" si="9">AD3+1</f>
        <v>201511</v>
      </c>
      <c r="AF3" s="484">
        <f t="shared" ref="AF3" si="10">AE3+1</f>
        <v>201512</v>
      </c>
      <c r="AI3" s="484"/>
    </row>
    <row r="4" spans="1:39" s="483" customFormat="1" ht="16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H4" s="544">
        <v>201511</v>
      </c>
      <c r="AI4" s="526"/>
      <c r="AJ4" s="514"/>
      <c r="AK4" s="514"/>
      <c r="AL4" s="514"/>
      <c r="AM4" s="515"/>
    </row>
    <row r="5" spans="1:39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f>T13</f>
        <v>-411904.7279799963</v>
      </c>
      <c r="V5" s="482">
        <f>U13</f>
        <v>-645308.82581999747</v>
      </c>
      <c r="W5" s="482">
        <f t="shared" ref="W5" si="11">V13</f>
        <v>-851213.3205709972</v>
      </c>
      <c r="X5" s="482">
        <f t="shared" ref="X5" si="12">W13</f>
        <v>-383853.68833599566</v>
      </c>
      <c r="Y5" s="482">
        <f t="shared" ref="Y5" si="13">X13</f>
        <v>-1320748.2898439963</v>
      </c>
      <c r="Z5" s="482">
        <f t="shared" ref="Z5" si="14">Y13</f>
        <v>-1486769.1493459961</v>
      </c>
      <c r="AA5" s="482">
        <f t="shared" ref="AA5" si="15">Z13</f>
        <v>-1775279.9458759972</v>
      </c>
      <c r="AB5" s="482">
        <f t="shared" ref="AB5" si="16">AA13</f>
        <v>-2119120.6388879968</v>
      </c>
      <c r="AC5" s="482">
        <f t="shared" ref="AC5" si="17">AB13</f>
        <v>-2515662.2971379957</v>
      </c>
      <c r="AD5" s="482">
        <f t="shared" ref="AD5" si="18">AC13</f>
        <v>-3163911.9401459969</v>
      </c>
      <c r="AE5" s="482">
        <f t="shared" ref="AE5" si="19">AD13</f>
        <v>-3819344.4755009972</v>
      </c>
      <c r="AF5" s="482">
        <f t="shared" ref="AF5" si="20">AE13</f>
        <v>-2781365.1693109958</v>
      </c>
      <c r="AH5" s="497" t="s">
        <v>304</v>
      </c>
      <c r="AI5" s="527">
        <v>419600</v>
      </c>
      <c r="AJ5" s="498" t="s">
        <v>288</v>
      </c>
      <c r="AK5" s="498" t="s">
        <v>291</v>
      </c>
      <c r="AL5" s="519">
        <v>0</v>
      </c>
      <c r="AM5" s="520">
        <f>IF(SUMIF(U3:AF3,AH4,U8:AF8)&gt;0,SUMIF(U3:AF3,AH4,U8:AF8),0)</f>
        <v>0</v>
      </c>
    </row>
    <row r="6" spans="1:39">
      <c r="B6" s="481" t="s">
        <v>254</v>
      </c>
      <c r="C6" s="482">
        <f>SUM(U6:AF6)</f>
        <v>-5056717.7079139985</v>
      </c>
      <c r="D6" s="482">
        <f>-1369125.49+SUM(E6:Z6,E9:AE9)+901115.84+143183.96</f>
        <v>-96375.793635315582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f>Jan!$J$53</f>
        <v>331968.15844599903</v>
      </c>
      <c r="V6" s="482">
        <f>Feb!$J$53</f>
        <v>0</v>
      </c>
      <c r="W6" s="482">
        <f>Mar!$J$53</f>
        <v>547802.71264300169</v>
      </c>
      <c r="X6" s="482">
        <f>Apr!$J$53</f>
        <v>-1029654.8148680007</v>
      </c>
      <c r="Y6" s="482">
        <f>May!$J$53</f>
        <v>-494908.28808599967</v>
      </c>
      <c r="Z6" s="482">
        <f>Jun!$J$53</f>
        <v>-803843.28933000052</v>
      </c>
      <c r="AA6" s="482">
        <f>Jul!$J$53</f>
        <v>-778841.02357199905</v>
      </c>
      <c r="AB6" s="482">
        <f>Aug!$J$53</f>
        <v>-816009.11660199915</v>
      </c>
      <c r="AC6" s="482">
        <f>Sep!$J$53</f>
        <v>-995450.54456800083</v>
      </c>
      <c r="AD6" s="482">
        <f>Oct!$J$55</f>
        <v>-911936.74747700011</v>
      </c>
      <c r="AE6" s="482">
        <f>Nov!$J$55</f>
        <v>-105844.75449999981</v>
      </c>
      <c r="AF6" s="482">
        <f>Dec!$J$53</f>
        <v>0</v>
      </c>
      <c r="AH6" s="499" t="s">
        <v>305</v>
      </c>
      <c r="AI6" s="528">
        <v>431600</v>
      </c>
      <c r="AJ6" s="358" t="s">
        <v>288</v>
      </c>
      <c r="AK6" s="358" t="s">
        <v>291</v>
      </c>
      <c r="AL6" s="381">
        <f>IF(SUMIF(U3:AF3,AH4,U8:AF8)&lt;0,-SUMIF(U3:AF3,AH4,U8:AF8),0)</f>
        <v>2050</v>
      </c>
      <c r="AM6" s="500">
        <v>0</v>
      </c>
    </row>
    <row r="7" spans="1:39">
      <c r="B7" s="481" t="s">
        <v>255</v>
      </c>
      <c r="C7" s="482">
        <f t="shared" ref="C7:C11" si="21">SUM(U7:AF7)</f>
        <v>954206.43658299907</v>
      </c>
      <c r="D7" s="482">
        <f>1867859.17+SUM(E7:Z7,E10:AE10)-530386.55-444070.48</f>
        <v>3.0593792907893658E-3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f>Jan!$K$53</f>
        <v>-634725.57628600008</v>
      </c>
      <c r="V7" s="482">
        <f>Feb!$K$53</f>
        <v>-205263.17475099966</v>
      </c>
      <c r="W7" s="482">
        <f>Mar!$K$53</f>
        <v>-80067.220408000168</v>
      </c>
      <c r="X7" s="482">
        <f>Apr!$K$53</f>
        <v>93304.253359999973</v>
      </c>
      <c r="Y7" s="482">
        <f>May!$K$53</f>
        <v>330056.73858399986</v>
      </c>
      <c r="Z7" s="482">
        <f>Jun!$K$53</f>
        <v>516691.11279999983</v>
      </c>
      <c r="AA7" s="482">
        <f>Jul!$K$53</f>
        <v>436622.32056000002</v>
      </c>
      <c r="AB7" s="482">
        <f>Aug!$K$53</f>
        <v>421397.81835199991</v>
      </c>
      <c r="AC7" s="482">
        <f>Sep!$K$53</f>
        <v>349566.40155999974</v>
      </c>
      <c r="AD7" s="482">
        <f>Oct!$K$55</f>
        <v>259412.69212199986</v>
      </c>
      <c r="AE7" s="482">
        <f>Nov!$K$55</f>
        <v>-532788.92931000004</v>
      </c>
      <c r="AF7" s="482">
        <f>Dec!$K$53</f>
        <v>0</v>
      </c>
      <c r="AH7" s="499" t="s">
        <v>306</v>
      </c>
      <c r="AI7" s="528">
        <v>191010</v>
      </c>
      <c r="AJ7" s="358" t="s">
        <v>288</v>
      </c>
      <c r="AK7" s="358" t="s">
        <v>291</v>
      </c>
      <c r="AL7" s="381">
        <f>IF((SUMIF(U3:AF3,AH4,U6:AF6)+SUMIF(U3:AF3,AH4,U7:AF7)+SUMIF(U3:AF3,AH4,U8:AF8))&gt;0,(SUMIF(U3:AF3,AH4,U6:AF6)+SUMIF(U3:AF3,AH4,U7:AF7)+SUMIF(U3:AF3,AH4,U8:AF8)),0)</f>
        <v>0</v>
      </c>
      <c r="AM7" s="500">
        <f>IF((SUMIF(U3:AF3,AH4,U6:AF6)+SUMIF(U3:AF3,AH4,U7:AF7)+SUMIF(U3:AF3,AH4,U8:AF8))&lt;0,-(SUMIF(U3:AF3,AH4,U6:AF6)+SUMIF(U3:AF3,AH4,U7:AF7)++SUMIF(U3:AF3,AH4,U8:AF8)),0)</f>
        <v>640683.68380999984</v>
      </c>
    </row>
    <row r="8" spans="1:39">
      <c r="B8" s="481" t="s">
        <v>258</v>
      </c>
      <c r="C8" s="482">
        <f t="shared" si="21"/>
        <v>-17976.7</v>
      </c>
      <c r="D8" s="482">
        <f>-7356.73+SUM(E8:Z8,E11:AE11)+29.1+W12+X12</f>
        <v>-241.15000000000427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f>ROUND(((X5+X12)*(X4/12))+((SUM(X6:X7)/2)*(X4/12)),2)</f>
        <v>-709.89</v>
      </c>
      <c r="Y8" s="489">
        <f t="shared" ref="Y8:AC8" si="22">ROUND(((Y5+Y9+Y10+Y11)*(Y4/12))+((SUM(Y6:Y7)/2)*(Y4/12)),2)</f>
        <v>-1169.31</v>
      </c>
      <c r="Z8" s="489">
        <f t="shared" si="22"/>
        <v>-1358.62</v>
      </c>
      <c r="AA8" s="489">
        <f t="shared" si="22"/>
        <v>-1621.99</v>
      </c>
      <c r="AB8" s="489">
        <f t="shared" si="22"/>
        <v>-1930.36</v>
      </c>
      <c r="AC8" s="489">
        <f t="shared" si="22"/>
        <v>-2365.5</v>
      </c>
      <c r="AD8" s="489">
        <f>ROUND(((AD5+AD9+AD10+AD11)*(AD4/12))+((SUM(AD6:AD7)/2)*(AD4/12)),2)</f>
        <v>-2908.48</v>
      </c>
      <c r="AE8" s="482">
        <f>ROUND(((AE5+AE9+AE10+AE11)*(AE4/12))+((SUM(AE6:AE7)/2)*(AE4/12)),2)</f>
        <v>-2050</v>
      </c>
      <c r="AF8" s="489">
        <f>ROUND(((AF5+AF9+AF10+AF11)*(AF4/12))+((SUM(AF6:AF7)/2)*(AF4/12)),2)</f>
        <v>-2317.8000000000002</v>
      </c>
      <c r="AH8" s="499" t="s">
        <v>307</v>
      </c>
      <c r="AI8" s="528">
        <v>805120</v>
      </c>
      <c r="AJ8" s="358" t="s">
        <v>288</v>
      </c>
      <c r="AK8" s="358" t="s">
        <v>291</v>
      </c>
      <c r="AL8" s="381">
        <f>IF((SUMIF(U3:AF3,AH4,U6:AF6)+SUMIF(U3:AF3,AH4,U7:AF7))&lt;0,-(SUMIF(U3:AF3,AH4,U6:AF6)+SUMIF(U3:AF3,AH4,U7:AF7)),0)</f>
        <v>638633.68380999984</v>
      </c>
      <c r="AM8" s="500">
        <f>IF((SUMIF(U3:AF3,AH4,U6:AF6)+SUMIF(U3:AF3,AH4,U7:AF7))&gt;0,(SUMIF(U3:AF3,AH4,U6:AF6)+SUMIF(U3:AF3,AH4,U7:AF7)),0)</f>
        <v>0</v>
      </c>
    </row>
    <row r="9" spans="1:39">
      <c r="B9" s="481" t="s">
        <v>262</v>
      </c>
      <c r="C9" s="482">
        <f t="shared" si="21"/>
        <v>2319268.2000000002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H9" s="499" t="s">
        <v>11</v>
      </c>
      <c r="AI9" s="528">
        <v>191010</v>
      </c>
      <c r="AJ9" s="358" t="s">
        <v>288</v>
      </c>
      <c r="AK9" s="358" t="s">
        <v>291</v>
      </c>
      <c r="AL9" s="381">
        <f>SUM(AE9:AE12)</f>
        <v>1678662.9900000002</v>
      </c>
      <c r="AM9" s="500">
        <v>0</v>
      </c>
    </row>
    <row r="10" spans="1:39" ht="16" thickBot="1">
      <c r="B10" s="481" t="s">
        <v>263</v>
      </c>
      <c r="C10" s="482">
        <f t="shared" si="21"/>
        <v>-651240.86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H10" s="501" t="str">
        <f>AH9</f>
        <v>Tracker Transfer</v>
      </c>
      <c r="AI10" s="529">
        <f>AI44</f>
        <v>191000</v>
      </c>
      <c r="AJ10" s="529" t="str">
        <f>AJ44</f>
        <v>GD</v>
      </c>
      <c r="AK10" s="529" t="str">
        <f>AK44</f>
        <v>ID</v>
      </c>
      <c r="AL10" s="503">
        <v>0</v>
      </c>
      <c r="AM10" s="521">
        <f>AL9</f>
        <v>1678662.9900000002</v>
      </c>
    </row>
    <row r="11" spans="1:39" ht="16" thickBot="1">
      <c r="B11" s="481" t="s">
        <v>264</v>
      </c>
      <c r="C11" s="482">
        <f t="shared" si="21"/>
        <v>10586.56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H11" s="516"/>
      <c r="AI11" s="530"/>
      <c r="AJ11" s="517"/>
      <c r="AK11" s="517"/>
      <c r="AL11" s="517" t="s">
        <v>159</v>
      </c>
      <c r="AM11" s="518">
        <f>SUM(AL5:AL10)-SUM(AM5:AM10)</f>
        <v>0</v>
      </c>
    </row>
    <row r="12" spans="1:39">
      <c r="B12" s="481" t="s">
        <v>148</v>
      </c>
      <c r="C12" s="482">
        <f>SUM(U12:AF12)</f>
        <v>70095.83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</row>
    <row r="13" spans="1:39" ht="16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23">SUM(F5:F12)</f>
        <v>-179650.44284699953</v>
      </c>
      <c r="G13" s="541">
        <f t="shared" si="23"/>
        <v>-770749.33284699952</v>
      </c>
      <c r="H13" s="541">
        <f t="shared" si="23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F13" si="24">SUM(U5:U12)</f>
        <v>-645308.82581999747</v>
      </c>
      <c r="V13" s="541">
        <f t="shared" si="24"/>
        <v>-851213.3205709972</v>
      </c>
      <c r="W13" s="541">
        <f t="shared" si="24"/>
        <v>-383853.68833599566</v>
      </c>
      <c r="X13" s="541">
        <f t="shared" si="24"/>
        <v>-1320748.2898439963</v>
      </c>
      <c r="Y13" s="541">
        <f t="shared" si="24"/>
        <v>-1486769.1493459961</v>
      </c>
      <c r="Z13" s="541">
        <f t="shared" si="24"/>
        <v>-1775279.9458759972</v>
      </c>
      <c r="AA13" s="541">
        <f t="shared" si="24"/>
        <v>-2119120.6388879968</v>
      </c>
      <c r="AB13" s="541">
        <f t="shared" si="24"/>
        <v>-2515662.2971379957</v>
      </c>
      <c r="AC13" s="541">
        <f t="shared" si="24"/>
        <v>-3163911.9401459969</v>
      </c>
      <c r="AD13" s="541">
        <f t="shared" si="24"/>
        <v>-3819344.4755009972</v>
      </c>
      <c r="AE13" s="541">
        <f t="shared" si="24"/>
        <v>-2781365.1693109958</v>
      </c>
      <c r="AF13" s="541">
        <f t="shared" si="24"/>
        <v>-2783682.9693109957</v>
      </c>
    </row>
    <row r="14" spans="1:39" ht="16" thickTop="1">
      <c r="B14" s="481" t="s">
        <v>260</v>
      </c>
      <c r="E14" s="482" t="e">
        <f ca="1">_xll.Get_Balance(E3,"YTD","USD","Total","A","","001",$A$3,"GD","ID","DL")</f>
        <v>#NAME?</v>
      </c>
      <c r="F14" s="482" t="e">
        <f ca="1">_xll.Get_Balance(F3,"YTD","USD","Total","A","","001",$A$3,"GD","ID","DL")</f>
        <v>#NAME?</v>
      </c>
      <c r="G14" s="482" t="e">
        <f ca="1">_xll.Get_Balance(G3,"YTD","USD","Total","A","","001",$A$3,"GD","ID","DL")</f>
        <v>#NAME?</v>
      </c>
      <c r="H14" s="482" t="e">
        <f ca="1">_xll.Get_Balance(H3,"YTD","USD","Total","A","","001",$A$3,"GD","ID","DL")</f>
        <v>#NAME?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 t="e">
        <f ca="1">_xll.Get_Balance(S3,"YTD","USD","Total","A","","001",$A$3,"GD","ID","DL")</f>
        <v>#NAME?</v>
      </c>
      <c r="T14" s="482" t="e">
        <f ca="1">_xll.Get_Balance(T3,"YTD","USD","Total","A","","001",$A$3,"GD","ID","DL")</f>
        <v>#NAME?</v>
      </c>
      <c r="U14" s="482" t="e">
        <f ca="1">_xll.Get_Balance(U3,"YTD","USD","Total","A","","001",$A$3,"GD","ID","DL")</f>
        <v>#NAME?</v>
      </c>
      <c r="V14" s="482" t="e">
        <f ca="1">_xll.Get_Balance(V3,"YTD","USD","Total","A","","001",$A$3,"GD","ID","DL")</f>
        <v>#NAME?</v>
      </c>
      <c r="W14" s="482" t="e">
        <f ca="1">_xll.Get_Balance(W3,"YTD","USD","Total","A","","001",$A$3,"GD","ID","DL")</f>
        <v>#NAME?</v>
      </c>
      <c r="X14" s="482" t="e">
        <f ca="1">_xll.Get_Balance(X3,"YTD","USD","Total","A","","001",$A$3,"GD","ID","DL")</f>
        <v>#NAME?</v>
      </c>
      <c r="Y14" s="482" t="e">
        <f ca="1">_xll.Get_Balance(Y3,"YTD","USD","Total","A","","001",$A$3,"GD","ID","DL")</f>
        <v>#NAME?</v>
      </c>
      <c r="Z14" s="482" t="e">
        <f ca="1">_xll.Get_Balance(Z3,"YTD","USD","Total","A","","001",$A$3,"GD","ID","DL")</f>
        <v>#NAME?</v>
      </c>
      <c r="AA14" s="482" t="e">
        <f ca="1">_xll.Get_Balance(AA3,"YTD","USD","Total","A","","001",$A$3,"GD","ID","DL")</f>
        <v>#NAME?</v>
      </c>
      <c r="AB14" s="482" t="e">
        <f ca="1">_xll.Get_Balance(AB3,"YTD","USD","Total","A","","001",$A$3,"GD","ID","DL")</f>
        <v>#NAME?</v>
      </c>
      <c r="AC14" s="482" t="e">
        <f ca="1">_xll.Get_Balance(AC3,"YTD","USD","Total","A","","001",$A$3,"GD","ID","DL")</f>
        <v>#NAME?</v>
      </c>
      <c r="AD14" s="482" t="e">
        <f ca="1">_xll.Get_Balance(AD3,"YTD","USD","Total","A","","001",$A$3,"GD","ID","DL")</f>
        <v>#NAME?</v>
      </c>
      <c r="AE14" s="482" t="e">
        <f ca="1">_xll.Get_Balance(AE3,"YTD","USD","Total","A","","001",$A$3,"GD","ID","DL")</f>
        <v>#NAME?</v>
      </c>
      <c r="AF14" s="482" t="e">
        <f ca="1">_xll.Get_Balance(AF3,"YTD","USD","Total","A","","001",$A$3,"GD","ID","DL")</f>
        <v>#NAME?</v>
      </c>
    </row>
    <row r="15" spans="1:39">
      <c r="B15" s="481" t="s">
        <v>245</v>
      </c>
      <c r="E15" s="482" t="e">
        <f t="shared" ref="E15:H15" ca="1" si="25">E13-E14</f>
        <v>#NAME?</v>
      </c>
      <c r="F15" s="482" t="e">
        <f t="shared" ca="1" si="25"/>
        <v>#NAME?</v>
      </c>
      <c r="G15" s="482" t="e">
        <f t="shared" ca="1" si="25"/>
        <v>#NAME?</v>
      </c>
      <c r="H15" s="482" t="e">
        <f t="shared" ca="1" si="25"/>
        <v>#NAME?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 t="e">
        <f t="shared" ref="S15:T15" ca="1" si="26">S13-S14</f>
        <v>#NAME?</v>
      </c>
      <c r="T15" s="482" t="e">
        <f t="shared" ca="1" si="26"/>
        <v>#NAME?</v>
      </c>
      <c r="U15" s="482" t="e">
        <f ca="1">U13-U14</f>
        <v>#NAME?</v>
      </c>
      <c r="V15" s="482" t="e">
        <f ca="1">V13-V14</f>
        <v>#NAME?</v>
      </c>
      <c r="W15" s="482" t="e">
        <f t="shared" ref="W15:AA15" ca="1" si="27">W13-W14</f>
        <v>#NAME?</v>
      </c>
      <c r="X15" s="482" t="e">
        <f t="shared" ca="1" si="27"/>
        <v>#NAME?</v>
      </c>
      <c r="Y15" s="482" t="e">
        <f t="shared" ca="1" si="27"/>
        <v>#NAME?</v>
      </c>
      <c r="Z15" s="482" t="e">
        <f t="shared" ca="1" si="27"/>
        <v>#NAME?</v>
      </c>
      <c r="AA15" s="482" t="e">
        <f t="shared" ca="1" si="27"/>
        <v>#NAME?</v>
      </c>
      <c r="AB15" s="482" t="e">
        <f t="shared" ref="AB15:AF15" ca="1" si="28">AB13-AB14</f>
        <v>#NAME?</v>
      </c>
      <c r="AC15" s="482" t="e">
        <f t="shared" ca="1" si="28"/>
        <v>#NAME?</v>
      </c>
      <c r="AD15" s="482" t="e">
        <f t="shared" ca="1" si="28"/>
        <v>#NAME?</v>
      </c>
      <c r="AE15" s="482" t="e">
        <f t="shared" ca="1" si="28"/>
        <v>#NAME?</v>
      </c>
      <c r="AF15" s="482" t="e">
        <f t="shared" ca="1" si="28"/>
        <v>#NAME?</v>
      </c>
    </row>
    <row r="16" spans="1:39">
      <c r="A16" s="483" t="s">
        <v>271</v>
      </c>
      <c r="U16" s="482" t="s">
        <v>330</v>
      </c>
    </row>
    <row r="17" spans="1:39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I17" s="558"/>
    </row>
    <row r="18" spans="1:39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" si="29">U18+1</f>
        <v>201502</v>
      </c>
      <c r="W18" s="484">
        <f t="shared" ref="W18" si="30">V18+1</f>
        <v>201503</v>
      </c>
      <c r="X18" s="484">
        <f t="shared" ref="X18" si="31">W18+1</f>
        <v>201504</v>
      </c>
      <c r="Y18" s="484">
        <f t="shared" ref="Y18" si="32">X18+1</f>
        <v>201505</v>
      </c>
      <c r="Z18" s="484">
        <f t="shared" ref="Z18" si="33">Y18+1</f>
        <v>201506</v>
      </c>
      <c r="AA18" s="484">
        <f t="shared" ref="AA18" si="34">Z18+1</f>
        <v>201507</v>
      </c>
      <c r="AB18" s="484">
        <f t="shared" ref="AB18" si="35">AA18+1</f>
        <v>201508</v>
      </c>
      <c r="AC18" s="484">
        <f t="shared" ref="AC18" si="36">AB18+1</f>
        <v>201509</v>
      </c>
      <c r="AD18" s="484">
        <f t="shared" ref="AD18" si="37">AC18+1</f>
        <v>201510</v>
      </c>
      <c r="AE18" s="484">
        <f t="shared" ref="AE18" si="38">AD18+1</f>
        <v>201511</v>
      </c>
      <c r="AF18" s="484">
        <f t="shared" ref="AF18" si="39">AE18+1</f>
        <v>201512</v>
      </c>
      <c r="AI18" s="558"/>
    </row>
    <row r="19" spans="1:39">
      <c r="A19" s="483"/>
      <c r="B19" s="481" t="s">
        <v>37</v>
      </c>
      <c r="C19" s="491">
        <f>SUM(U19:AF19)</f>
        <v>39097164</v>
      </c>
      <c r="D19" s="491">
        <f>SUM(S19:AD19)</f>
        <v>48012811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f>Jan!$K36</f>
        <v>8991869</v>
      </c>
      <c r="V19" s="491">
        <f>Feb!$K36</f>
        <v>5607449</v>
      </c>
      <c r="W19" s="491">
        <f>Mar!$K36</f>
        <v>5090227</v>
      </c>
      <c r="X19" s="491">
        <f>Apr!$K36</f>
        <v>3621515</v>
      </c>
      <c r="Y19" s="491">
        <f>May!$K36</f>
        <v>1624041</v>
      </c>
      <c r="Z19" s="491">
        <f>Jun!$K36</f>
        <v>985347</v>
      </c>
      <c r="AA19" s="491">
        <f>Jul!$K36</f>
        <v>990038</v>
      </c>
      <c r="AB19" s="491">
        <f>Aug!$K36</f>
        <v>930531</v>
      </c>
      <c r="AC19" s="491">
        <f>Sep!$K36</f>
        <v>1531464</v>
      </c>
      <c r="AD19" s="491">
        <f>Oct!$K36</f>
        <v>2476612</v>
      </c>
      <c r="AE19" s="491">
        <f>Nov!$K36</f>
        <v>7248071</v>
      </c>
      <c r="AF19" s="491">
        <f>Dec!$K36</f>
        <v>0</v>
      </c>
      <c r="AG19" s="491"/>
    </row>
    <row r="20" spans="1:39">
      <c r="A20" s="483"/>
      <c r="B20" s="481" t="s">
        <v>38</v>
      </c>
      <c r="C20" s="491">
        <f t="shared" ref="C20:C24" si="40">SUM(U20:AF20)</f>
        <v>18037646</v>
      </c>
      <c r="D20" s="491">
        <f>SUM(S20:AD20)</f>
        <v>20769686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f>Jan!$K37</f>
        <v>2818068</v>
      </c>
      <c r="V20" s="491">
        <f>Feb!$K37</f>
        <v>2333245</v>
      </c>
      <c r="W20" s="491">
        <f>Mar!$K37</f>
        <v>1927746</v>
      </c>
      <c r="X20" s="491">
        <f>Apr!$K37</f>
        <v>1633221</v>
      </c>
      <c r="Y20" s="491">
        <f>May!$K37</f>
        <v>1075904</v>
      </c>
      <c r="Z20" s="491">
        <f>Jun!$K37</f>
        <v>1089173</v>
      </c>
      <c r="AA20" s="491">
        <f>Jul!$K37</f>
        <v>964252</v>
      </c>
      <c r="AB20" s="491">
        <f>Aug!$K37</f>
        <v>1322423</v>
      </c>
      <c r="AC20" s="491">
        <f>Sep!$K37</f>
        <v>1101192</v>
      </c>
      <c r="AD20" s="491">
        <f>Oct!$K37</f>
        <v>1392647</v>
      </c>
      <c r="AE20" s="491">
        <f>Nov!$K37</f>
        <v>2379775</v>
      </c>
      <c r="AF20" s="491">
        <f>Dec!$K37</f>
        <v>0</v>
      </c>
      <c r="AG20" s="491"/>
    </row>
    <row r="21" spans="1:39" hidden="1">
      <c r="A21" s="483"/>
      <c r="B21" s="481" t="s">
        <v>39</v>
      </c>
      <c r="C21" s="491">
        <f t="shared" si="40"/>
        <v>0</v>
      </c>
      <c r="D21" s="491">
        <f>SUM(G21:R21)</f>
        <v>0</v>
      </c>
      <c r="E21" s="491"/>
      <c r="F21" s="491"/>
      <c r="G21" s="491"/>
      <c r="H21" s="491"/>
    </row>
    <row r="22" spans="1:39" hidden="1">
      <c r="A22" s="483"/>
      <c r="B22" s="481" t="s">
        <v>40</v>
      </c>
      <c r="C22" s="491">
        <f t="shared" si="40"/>
        <v>0</v>
      </c>
      <c r="D22" s="491">
        <f>SUM(G22:R22)</f>
        <v>0</v>
      </c>
      <c r="E22" s="491"/>
      <c r="F22" s="491"/>
      <c r="G22" s="491"/>
      <c r="H22" s="491"/>
    </row>
    <row r="23" spans="1:39" hidden="1">
      <c r="A23" s="483"/>
      <c r="B23" s="481" t="s">
        <v>41</v>
      </c>
      <c r="C23" s="491">
        <f t="shared" si="40"/>
        <v>0</v>
      </c>
      <c r="D23" s="491">
        <f>SUM(G23:R23)</f>
        <v>0</v>
      </c>
      <c r="E23" s="491"/>
      <c r="F23" s="491"/>
      <c r="G23" s="491"/>
      <c r="H23" s="491"/>
    </row>
    <row r="24" spans="1:39">
      <c r="A24" s="483"/>
      <c r="B24" s="481" t="s">
        <v>42</v>
      </c>
      <c r="C24" s="491">
        <f t="shared" si="40"/>
        <v>0</v>
      </c>
      <c r="D24" s="491">
        <f>SUM(F24:Q24)</f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f>Jan!$K41</f>
        <v>0</v>
      </c>
      <c r="V24" s="491">
        <f>Feb!$K41</f>
        <v>0</v>
      </c>
      <c r="W24" s="491">
        <f>Mar!$K41</f>
        <v>0</v>
      </c>
      <c r="X24" s="491">
        <f>Apr!$K41</f>
        <v>0</v>
      </c>
      <c r="Y24" s="491">
        <f>May!$K41</f>
        <v>0</v>
      </c>
      <c r="Z24" s="491">
        <f>Jun!$K41</f>
        <v>0</v>
      </c>
      <c r="AA24" s="491">
        <f>Jul!$K41</f>
        <v>0</v>
      </c>
      <c r="AB24" s="491">
        <f>Aug!$K41</f>
        <v>0</v>
      </c>
      <c r="AC24" s="491">
        <f>Sep!$K41</f>
        <v>0</v>
      </c>
      <c r="AD24" s="491">
        <f>Oct!$K41</f>
        <v>0</v>
      </c>
      <c r="AE24" s="491">
        <f>Nov!$K41</f>
        <v>0</v>
      </c>
      <c r="AF24" s="491">
        <f>Dec!$K41</f>
        <v>0</v>
      </c>
      <c r="AG24" s="491"/>
    </row>
    <row r="25" spans="1:39" hidden="1">
      <c r="A25" s="483"/>
      <c r="B25" s="481" t="s">
        <v>43</v>
      </c>
      <c r="C25" s="491">
        <f t="shared" ref="C25:C26" si="41">SUM(I25:T25)</f>
        <v>0</v>
      </c>
      <c r="D25" s="491">
        <f>SUM(G25:R25)</f>
        <v>0</v>
      </c>
      <c r="E25" s="491"/>
      <c r="F25" s="491"/>
      <c r="G25" s="491"/>
      <c r="H25" s="491"/>
    </row>
    <row r="26" spans="1:39" hidden="1">
      <c r="A26" s="483"/>
      <c r="B26" s="481" t="s">
        <v>74</v>
      </c>
      <c r="C26" s="491">
        <f t="shared" si="41"/>
        <v>0</v>
      </c>
      <c r="D26" s="491">
        <f>SUM(G26:R26)</f>
        <v>0</v>
      </c>
      <c r="E26" s="491"/>
      <c r="F26" s="491"/>
      <c r="G26" s="491"/>
      <c r="H26" s="491"/>
    </row>
    <row r="27" spans="1:39" ht="16" thickBot="1">
      <c r="A27" s="483"/>
      <c r="B27" s="481" t="s">
        <v>21</v>
      </c>
      <c r="C27" s="542">
        <f>SUM(U27:AF27)</f>
        <v>57134810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42">SUM(G19:G26)</f>
        <v>9508099</v>
      </c>
      <c r="H27" s="542">
        <f t="shared" si="42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C27" si="43">SUM(U19:U26)</f>
        <v>11809937</v>
      </c>
      <c r="V27" s="542">
        <f t="shared" si="43"/>
        <v>7940694</v>
      </c>
      <c r="W27" s="542">
        <f t="shared" si="43"/>
        <v>7017973</v>
      </c>
      <c r="X27" s="542">
        <f t="shared" si="43"/>
        <v>5254736</v>
      </c>
      <c r="Y27" s="542">
        <f t="shared" si="43"/>
        <v>2699945</v>
      </c>
      <c r="Z27" s="542">
        <f t="shared" si="43"/>
        <v>2074520</v>
      </c>
      <c r="AA27" s="542">
        <f t="shared" si="43"/>
        <v>1954290</v>
      </c>
      <c r="AB27" s="542">
        <f t="shared" si="43"/>
        <v>2252954</v>
      </c>
      <c r="AC27" s="542">
        <f t="shared" si="43"/>
        <v>2632656</v>
      </c>
      <c r="AD27" s="542">
        <f t="shared" ref="AD27:AF27" si="44">SUM(AD19:AD26)</f>
        <v>3869259</v>
      </c>
      <c r="AE27" s="542">
        <f t="shared" si="44"/>
        <v>9627846</v>
      </c>
      <c r="AF27" s="542">
        <f t="shared" si="44"/>
        <v>0</v>
      </c>
    </row>
    <row r="28" spans="1:39" ht="16" thickTop="1">
      <c r="A28" s="483"/>
      <c r="B28" s="481" t="s">
        <v>269</v>
      </c>
      <c r="C28" s="491">
        <f>SUM(U28:AF28)</f>
        <v>57134810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684">
        <v>9627846</v>
      </c>
      <c r="AF28" s="543"/>
    </row>
    <row r="29" spans="1:39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</row>
    <row r="30" spans="1:39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" si="45">U30+1</f>
        <v>201502</v>
      </c>
      <c r="W30" s="484">
        <f t="shared" ref="W30" si="46">V30+1</f>
        <v>201503</v>
      </c>
      <c r="X30" s="484">
        <f t="shared" ref="X30" si="47">W30+1</f>
        <v>201504</v>
      </c>
      <c r="Y30" s="484">
        <f t="shared" ref="Y30" si="48">X30+1</f>
        <v>201505</v>
      </c>
      <c r="Z30" s="484">
        <f t="shared" ref="Z30" si="49">Y30+1</f>
        <v>201506</v>
      </c>
      <c r="AA30" s="484">
        <f t="shared" ref="AA30" si="50">Z30+1</f>
        <v>201507</v>
      </c>
      <c r="AB30" s="484">
        <f t="shared" ref="AB30" si="51">AA30+1</f>
        <v>201508</v>
      </c>
      <c r="AC30" s="484">
        <f t="shared" ref="AC30" si="52">AB30+1</f>
        <v>201509</v>
      </c>
      <c r="AD30" s="484">
        <f t="shared" ref="AD30" si="53">AC30+1</f>
        <v>201510</v>
      </c>
      <c r="AE30" s="484">
        <f t="shared" ref="AE30" si="54">AD30+1</f>
        <v>201511</v>
      </c>
      <c r="AF30" s="484">
        <f t="shared" ref="AF30" si="55">AE30+1</f>
        <v>201512</v>
      </c>
    </row>
    <row r="31" spans="1:39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270</v>
      </c>
      <c r="AF31" s="492" t="s">
        <v>270</v>
      </c>
      <c r="AH31" s="707"/>
      <c r="AI31" s="708"/>
      <c r="AJ31" s="708"/>
      <c r="AK31" s="708"/>
      <c r="AL31" s="708"/>
      <c r="AM31" s="564"/>
    </row>
    <row r="32" spans="1:39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270</v>
      </c>
      <c r="AF32" s="492" t="s">
        <v>270</v>
      </c>
      <c r="AH32" s="708"/>
      <c r="AI32" s="708"/>
      <c r="AJ32" s="708"/>
      <c r="AK32" s="708"/>
      <c r="AL32" s="708"/>
    </row>
    <row r="33" spans="1:39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H33" s="708"/>
      <c r="AI33" s="708"/>
      <c r="AJ33" s="708"/>
      <c r="AK33" s="708"/>
      <c r="AL33" s="708"/>
    </row>
    <row r="34" spans="1:39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H34" s="708"/>
      <c r="AI34" s="708"/>
      <c r="AJ34" s="708"/>
      <c r="AK34" s="708"/>
      <c r="AL34" s="708"/>
    </row>
    <row r="35" spans="1:39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H35" s="708"/>
      <c r="AI35" s="708"/>
      <c r="AJ35" s="708"/>
      <c r="AK35" s="708"/>
      <c r="AL35" s="708"/>
    </row>
    <row r="36" spans="1:39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270</v>
      </c>
      <c r="AF36" s="492" t="s">
        <v>270</v>
      </c>
      <c r="AH36" s="708"/>
      <c r="AI36" s="708"/>
      <c r="AJ36" s="708"/>
      <c r="AK36" s="708"/>
      <c r="AL36" s="708"/>
    </row>
    <row r="37" spans="1:39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</row>
    <row r="38" spans="1:39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</row>
    <row r="39" spans="1:39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H39" s="564"/>
    </row>
    <row r="40" spans="1:39" s="483" customFormat="1" ht="16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" si="56">U40+1</f>
        <v>201502</v>
      </c>
      <c r="W40" s="484">
        <f t="shared" ref="W40" si="57">V40+1</f>
        <v>201503</v>
      </c>
      <c r="X40" s="484">
        <f t="shared" ref="X40" si="58">W40+1</f>
        <v>201504</v>
      </c>
      <c r="Y40" s="484">
        <f t="shared" ref="Y40" si="59">X40+1</f>
        <v>201505</v>
      </c>
      <c r="Z40" s="484">
        <f t="shared" ref="Z40" si="60">Y40+1</f>
        <v>201506</v>
      </c>
      <c r="AA40" s="484">
        <f t="shared" ref="AA40" si="61">Z40+1</f>
        <v>201507</v>
      </c>
      <c r="AB40" s="484">
        <f t="shared" ref="AB40" si="62">AA40+1</f>
        <v>201508</v>
      </c>
      <c r="AC40" s="484">
        <f t="shared" ref="AC40" si="63">AB40+1</f>
        <v>201509</v>
      </c>
      <c r="AD40" s="484">
        <f t="shared" ref="AD40" si="64">AC40+1</f>
        <v>201510</v>
      </c>
      <c r="AE40" s="484">
        <f t="shared" ref="AE40" si="65">AD40+1</f>
        <v>201511</v>
      </c>
      <c r="AF40" s="484">
        <f t="shared" ref="AF40" si="66">AE40+1</f>
        <v>201512</v>
      </c>
      <c r="AH40" s="564"/>
      <c r="AI40" s="484"/>
    </row>
    <row r="41" spans="1:39" s="483" customFormat="1" ht="16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H41" s="513">
        <f>AH4</f>
        <v>201511</v>
      </c>
      <c r="AI41" s="526"/>
      <c r="AJ41" s="514"/>
      <c r="AK41" s="514"/>
      <c r="AL41" s="514"/>
      <c r="AM41" s="515"/>
    </row>
    <row r="42" spans="1:39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f>T47</f>
        <v>-1737468.3702166961</v>
      </c>
      <c r="V42" s="482">
        <f>U47</f>
        <v>-1379625.346046696</v>
      </c>
      <c r="W42" s="482">
        <f t="shared" ref="W42" si="67">V47</f>
        <v>-1139196.8415066958</v>
      </c>
      <c r="X42" s="482">
        <f t="shared" ref="X42" si="68">W47</f>
        <v>-927936.74257669575</v>
      </c>
      <c r="Y42" s="482">
        <f t="shared" ref="Y42" si="69">X47</f>
        <v>-767403.9580847763</v>
      </c>
      <c r="Z42" s="482">
        <f t="shared" ref="Z42" si="70">Y47</f>
        <v>-685903.92338007619</v>
      </c>
      <c r="AA42" s="482">
        <f t="shared" ref="AA42" si="71">Z47</f>
        <v>-623363.07088572613</v>
      </c>
      <c r="AB42" s="482">
        <f t="shared" ref="AB42" si="72">AA47</f>
        <v>-564427.81872858922</v>
      </c>
      <c r="AC42" s="482">
        <f t="shared" ref="AC42" si="73">AB47</f>
        <v>-496357.29729955469</v>
      </c>
      <c r="AD42" s="482">
        <f t="shared" ref="AD42" si="74">AC47</f>
        <v>-416678.50147523766</v>
      </c>
      <c r="AE42" s="482">
        <f t="shared" ref="AE42" si="75">AD47</f>
        <v>-299312.54063388787</v>
      </c>
      <c r="AF42" s="482">
        <f>AE47</f>
        <v>-1658528.5495927494</v>
      </c>
      <c r="AH42" s="497" t="s">
        <v>308</v>
      </c>
      <c r="AI42" s="527">
        <v>419600</v>
      </c>
      <c r="AJ42" s="498" t="s">
        <v>288</v>
      </c>
      <c r="AK42" s="498" t="s">
        <v>291</v>
      </c>
      <c r="AL42" s="519">
        <v>0</v>
      </c>
      <c r="AM42" s="520">
        <f>IF(SUMIF(U40:AF40,AH41,U44:AF44)&gt;0,SUMIF(U40:AF40,AH41,U44:AF44),0)</f>
        <v>0</v>
      </c>
    </row>
    <row r="43" spans="1:39">
      <c r="B43" s="481" t="s">
        <v>23</v>
      </c>
      <c r="C43" s="482">
        <f>SUM(U43:AF43)</f>
        <v>1721386.7752400001</v>
      </c>
      <c r="D43" s="491">
        <f>SUM(S43:AD43)</f>
        <v>2091261.3052400001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76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Z43" si="77">SUMPRODUCT(V19:V26,V31:V38)</f>
        <v>241476.50453999999</v>
      </c>
      <c r="W43" s="482">
        <f t="shared" si="77"/>
        <v>213416.55893</v>
      </c>
      <c r="X43" s="482">
        <f t="shared" si="77"/>
        <v>159796.52176</v>
      </c>
      <c r="Y43" s="482">
        <f t="shared" si="77"/>
        <v>82105.327449999997</v>
      </c>
      <c r="Z43" s="482">
        <f t="shared" si="77"/>
        <v>63086.153200000001</v>
      </c>
      <c r="AA43" s="482">
        <f>SUMPRODUCT(AA19:AA26,AA31:AA38)</f>
        <v>59429.958899999998</v>
      </c>
      <c r="AB43" s="482">
        <f t="shared" ref="AB43:AD43" si="78">SUMPRODUCT(AB19:AB26,AB31:AB38)</f>
        <v>68512.331139999995</v>
      </c>
      <c r="AC43" s="482">
        <f t="shared" si="78"/>
        <v>80059.068960000004</v>
      </c>
      <c r="AD43" s="482">
        <f t="shared" si="78"/>
        <v>117664.16618999999</v>
      </c>
      <c r="AE43" s="482">
        <v>276700</v>
      </c>
      <c r="AF43" s="563"/>
      <c r="AH43" s="499" t="s">
        <v>309</v>
      </c>
      <c r="AI43" s="528">
        <v>431600</v>
      </c>
      <c r="AJ43" s="358" t="s">
        <v>288</v>
      </c>
      <c r="AK43" s="358" t="s">
        <v>291</v>
      </c>
      <c r="AL43" s="381">
        <f>IF(SUMIF(U40:AF40,AH41,U44:AF44)&lt;0,-SUMIF(U40:AF40,AH41,U44:AF44),0)</f>
        <v>1514.5789588615733</v>
      </c>
      <c r="AM43" s="500">
        <v>0</v>
      </c>
    </row>
    <row r="44" spans="1:39">
      <c r="B44" s="481" t="s">
        <v>4</v>
      </c>
      <c r="C44" s="482">
        <f t="shared" ref="C44:C46" si="79">SUM(U44:AF44)</f>
        <v>-9572.2517407144132</v>
      </c>
      <c r="D44" s="491">
        <f>SUM(S44:AD44)</f>
        <v>-10285.568671527513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f>(((X42+X46)*(X41/12))+((X43/2)*(X41/12)))</f>
        <v>-705.49726808057983</v>
      </c>
      <c r="Y44" s="489">
        <f t="shared" ref="Y44:AB44" si="80">((Y42*(Y41/12))+((Y43/2)*(Y41/12)))</f>
        <v>-605.29274529981353</v>
      </c>
      <c r="Z44" s="489">
        <f t="shared" si="80"/>
        <v>-545.30070565006349</v>
      </c>
      <c r="AA44" s="489">
        <f t="shared" si="80"/>
        <v>-494.70674286310515</v>
      </c>
      <c r="AB44" s="489">
        <f t="shared" si="80"/>
        <v>-441.80971096549104</v>
      </c>
      <c r="AC44" s="489">
        <f t="shared" ref="AC44:AD44" si="81">((AC42*(AC41/12))+((AC43/2)*(AC41/12)))</f>
        <v>-380.27313568296228</v>
      </c>
      <c r="AD44" s="489">
        <f t="shared" si="81"/>
        <v>-298.20534865019806</v>
      </c>
      <c r="AE44" s="489">
        <f>((AE42+AE45)*(AE41/12))+(((AE43+AE46)/2)*(AE41/12))</f>
        <v>-1514.5789588615733</v>
      </c>
      <c r="AF44" s="560">
        <f t="shared" ref="AF44" si="82">((AF42*(AF41/12))+((AF43/2)*(AF41/12)))</f>
        <v>-1382.1071246606245</v>
      </c>
      <c r="AH44" s="499" t="s">
        <v>310</v>
      </c>
      <c r="AI44" s="528">
        <v>191000</v>
      </c>
      <c r="AJ44" s="358" t="s">
        <v>288</v>
      </c>
      <c r="AK44" s="358" t="s">
        <v>291</v>
      </c>
      <c r="AL44" s="381">
        <f>IF((SUMIF(U40:AF40,AH41,U43:AF43)+SUMIF(U40:AF40,AH41,U44:AF44))&gt;0,(SUMIF(U40:AF40,AH41,U43:AF43)+SUMIF(U40:AF40,AH41,U44:AF44)),0)</f>
        <v>275185.42104113841</v>
      </c>
      <c r="AM44" s="500">
        <f>IF((SUMIF(U40:AF40,AH41,U43:AF43)+SUMIF(U40:AF40,AH41,U44:AF44))&lt;0,-(SUMIF(U40:AF40,AH41,U43:AF43)+SUMIF(U40:AF40,AH41,U44:AF44)),0)</f>
        <v>0</v>
      </c>
    </row>
    <row r="45" spans="1:39">
      <c r="B45" s="481" t="s">
        <v>259</v>
      </c>
      <c r="C45" s="482">
        <f t="shared" si="79"/>
        <v>-1678662.99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563">
        <v>0</v>
      </c>
      <c r="AH45" s="499" t="s">
        <v>311</v>
      </c>
      <c r="AI45" s="528">
        <v>805110</v>
      </c>
      <c r="AJ45" s="358" t="s">
        <v>288</v>
      </c>
      <c r="AK45" s="358" t="s">
        <v>291</v>
      </c>
      <c r="AL45" s="381">
        <f>IF((SUMIF(U40:AF40,AH41,U43:AF43))&lt;0,-(SUMIF(U40:AF40,AH41,U43:AF43)),0)</f>
        <v>0</v>
      </c>
      <c r="AM45" s="500">
        <f>IF((SUMIF(U40:AF40,AH41,U43:AF43))&gt;0,(SUMIF(U40:AF40,AH41,U43:AF43)),0)</f>
        <v>276700</v>
      </c>
    </row>
    <row r="46" spans="1:39">
      <c r="B46" s="481" t="s">
        <v>148</v>
      </c>
      <c r="C46" s="482">
        <f t="shared" si="79"/>
        <v>-44116.939999999995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563">
        <f>-AE46*2</f>
        <v>-88523.12</v>
      </c>
      <c r="AH46" s="499" t="s">
        <v>156</v>
      </c>
      <c r="AI46" s="528">
        <f t="shared" ref="AI46:AK47" si="83">AI44</f>
        <v>191000</v>
      </c>
      <c r="AJ46" s="528" t="str">
        <f t="shared" si="83"/>
        <v>GD</v>
      </c>
      <c r="AK46" s="528" t="str">
        <f t="shared" si="83"/>
        <v>ID</v>
      </c>
      <c r="AL46" s="381">
        <f>AE46</f>
        <v>44261.56</v>
      </c>
      <c r="AM46" s="500">
        <v>0</v>
      </c>
    </row>
    <row r="47" spans="1:39" ht="16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84">SUM(F42:F46)</f>
        <v>122203.74560073584</v>
      </c>
      <c r="G47" s="541">
        <f t="shared" si="84"/>
        <v>121907.05607206978</v>
      </c>
      <c r="H47" s="541">
        <f t="shared" si="84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F47" si="85">SUM(V42:V46)</f>
        <v>-1139196.8415066958</v>
      </c>
      <c r="W47" s="541">
        <f t="shared" si="85"/>
        <v>-927936.74257669575</v>
      </c>
      <c r="X47" s="541">
        <f t="shared" si="85"/>
        <v>-767403.9580847763</v>
      </c>
      <c r="Y47" s="541">
        <f t="shared" si="85"/>
        <v>-685903.92338007619</v>
      </c>
      <c r="Z47" s="541">
        <f t="shared" si="85"/>
        <v>-623363.07088572613</v>
      </c>
      <c r="AA47" s="541">
        <f t="shared" si="85"/>
        <v>-564427.81872858922</v>
      </c>
      <c r="AB47" s="541">
        <f t="shared" si="85"/>
        <v>-496357.29729955469</v>
      </c>
      <c r="AC47" s="541">
        <f t="shared" si="85"/>
        <v>-416678.50147523766</v>
      </c>
      <c r="AD47" s="541">
        <f t="shared" si="85"/>
        <v>-299312.54063388787</v>
      </c>
      <c r="AE47" s="541">
        <f t="shared" si="85"/>
        <v>-1658528.5495927494</v>
      </c>
      <c r="AF47" s="541">
        <f t="shared" si="85"/>
        <v>-1748433.77671741</v>
      </c>
      <c r="AH47" s="501" t="str">
        <f>AH46</f>
        <v>Large Customer Refund</v>
      </c>
      <c r="AI47" s="529">
        <f t="shared" si="83"/>
        <v>805110</v>
      </c>
      <c r="AJ47" s="529" t="str">
        <f t="shared" si="83"/>
        <v>GD</v>
      </c>
      <c r="AK47" s="529" t="str">
        <f t="shared" si="83"/>
        <v>ID</v>
      </c>
      <c r="AL47" s="503">
        <v>0</v>
      </c>
      <c r="AM47" s="521">
        <f>AL46</f>
        <v>44261.56</v>
      </c>
    </row>
    <row r="48" spans="1:39" ht="16.5" thickTop="1" thickBot="1">
      <c r="B48" s="481" t="s">
        <v>260</v>
      </c>
      <c r="E48" s="482" t="e">
        <f ca="1">_xll.Get_Balance(E40,"YTD","USD","Total","A","","001",$A$40,"GD","ID","DL")</f>
        <v>#NAME?</v>
      </c>
      <c r="F48" s="482" t="e">
        <f ca="1">_xll.Get_Balance(F40,"YTD","USD","Total","A","","001",$A$40,"GD","ID","DL")</f>
        <v>#NAME?</v>
      </c>
      <c r="G48" s="482" t="e">
        <f ca="1">_xll.Get_Balance(G40,"YTD","USD","Total","A","","001",$A$40,"GD","ID","DL")</f>
        <v>#NAME?</v>
      </c>
      <c r="H48" s="482" t="e">
        <f ca="1">_xll.Get_Balance(H40,"YTD","USD","Total","A","","001",$A$40,"GD","ID","DL")</f>
        <v>#NAME?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 t="e">
        <f ca="1">_xll.Get_Balance(S40,"YTD","USD","Total","A","","001",$A$40,"GD","ID","DL")</f>
        <v>#NAME?</v>
      </c>
      <c r="T48" s="482" t="e">
        <f ca="1">_xll.Get_Balance(T40,"YTD","USD","Total","A","","001",$A$40,"GD","ID","DL")</f>
        <v>#NAME?</v>
      </c>
      <c r="U48" s="482" t="e">
        <f ca="1">_xll.Get_Balance(U40,"YTD","USD","Total","A","","001",$A$40,"GD","ID","DL")</f>
        <v>#NAME?</v>
      </c>
      <c r="V48" s="482" t="e">
        <f ca="1">_xll.Get_Balance(V40,"YTD","USD","Total","A","","001",$A$40,"GD","ID","DL")</f>
        <v>#NAME?</v>
      </c>
      <c r="W48" s="482" t="e">
        <f ca="1">_xll.Get_Balance(W40,"YTD","USD","Total","A","","001",$A$40,"GD","ID","DL")</f>
        <v>#NAME?</v>
      </c>
      <c r="X48" s="482" t="e">
        <f ca="1">_xll.Get_Balance(X40,"YTD","USD","Total","A","","001",$A$40,"GD","ID","DL")</f>
        <v>#NAME?</v>
      </c>
      <c r="Y48" s="482" t="e">
        <f ca="1">_xll.Get_Balance(Y40,"YTD","USD","Total","A","","001",$A$40,"GD","ID","DL")</f>
        <v>#NAME?</v>
      </c>
      <c r="Z48" s="482" t="e">
        <f ca="1">_xll.Get_Balance(Z40,"YTD","USD","Total","A","","001",$A$40,"GD","ID","DL")</f>
        <v>#NAME?</v>
      </c>
      <c r="AA48" s="482" t="e">
        <f ca="1">_xll.Get_Balance(AA40,"YTD","USD","Total","A","","001",$A$40,"GD","ID","DL")</f>
        <v>#NAME?</v>
      </c>
      <c r="AB48" s="482" t="e">
        <f ca="1">_xll.Get_Balance(AB40,"YTD","USD","Total","A","","001",$A$40,"GD","ID","DL")</f>
        <v>#NAME?</v>
      </c>
      <c r="AC48" s="482" t="e">
        <f ca="1">_xll.Get_Balance(AC40,"YTD","USD","Total","A","","001",$A$40,"GD","ID","DL")</f>
        <v>#NAME?</v>
      </c>
      <c r="AD48" s="482" t="e">
        <f ca="1">_xll.Get_Balance(AD40,"YTD","USD","Total","A","","001",$A$40,"GD","ID","DL")</f>
        <v>#NAME?</v>
      </c>
      <c r="AE48" s="482" t="e">
        <f ca="1">_xll.Get_Balance(AE40,"YTD","USD","Total","A","","001",$A$40,"GD","ID","DL")</f>
        <v>#NAME?</v>
      </c>
      <c r="AF48" s="482" t="e">
        <f ca="1">_xll.Get_Balance(AF40,"YTD","USD","Total","A","","001",$A$40,"GD","ID","DL")</f>
        <v>#NAME?</v>
      </c>
      <c r="AH48" s="516"/>
      <c r="AI48" s="530"/>
      <c r="AJ48" s="517"/>
      <c r="AK48" s="517"/>
      <c r="AL48" s="517" t="s">
        <v>159</v>
      </c>
      <c r="AM48" s="518">
        <f>SUM(AL42:AL47)-SUM(AM42:AM47)</f>
        <v>0</v>
      </c>
    </row>
    <row r="49" spans="1:33">
      <c r="B49" s="481" t="s">
        <v>245</v>
      </c>
      <c r="E49" s="482" t="e">
        <f t="shared" ref="E49:H49" ca="1" si="86">E47-E48</f>
        <v>#NAME?</v>
      </c>
      <c r="F49" s="482" t="e">
        <f t="shared" ca="1" si="86"/>
        <v>#NAME?</v>
      </c>
      <c r="G49" s="482" t="e">
        <f t="shared" ca="1" si="86"/>
        <v>#NAME?</v>
      </c>
      <c r="H49" s="482" t="e">
        <f t="shared" ca="1" si="86"/>
        <v>#NAME?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 t="e">
        <f ca="1">S47-S48</f>
        <v>#NAME?</v>
      </c>
      <c r="T49" s="482" t="e">
        <f ca="1">T47-T48</f>
        <v>#NAME?</v>
      </c>
      <c r="U49" s="482" t="e">
        <f ca="1">U47-U48</f>
        <v>#NAME?</v>
      </c>
      <c r="V49" s="482" t="e">
        <f t="shared" ref="V49:AG49" ca="1" si="87">V47-V48</f>
        <v>#NAME?</v>
      </c>
      <c r="W49" s="482" t="e">
        <f t="shared" ca="1" si="87"/>
        <v>#NAME?</v>
      </c>
      <c r="X49" s="482" t="e">
        <f t="shared" ca="1" si="87"/>
        <v>#NAME?</v>
      </c>
      <c r="Y49" s="482" t="e">
        <f t="shared" ref="Y49:AF49" ca="1" si="88">Y47-Y48</f>
        <v>#NAME?</v>
      </c>
      <c r="Z49" s="482" t="e">
        <f t="shared" ca="1" si="88"/>
        <v>#NAME?</v>
      </c>
      <c r="AA49" s="482" t="e">
        <f t="shared" ca="1" si="88"/>
        <v>#NAME?</v>
      </c>
      <c r="AB49" s="482" t="e">
        <f t="shared" ca="1" si="88"/>
        <v>#NAME?</v>
      </c>
      <c r="AC49" s="482" t="e">
        <f t="shared" ca="1" si="88"/>
        <v>#NAME?</v>
      </c>
      <c r="AD49" s="482" t="e">
        <f t="shared" ca="1" si="88"/>
        <v>#NAME?</v>
      </c>
      <c r="AE49" s="482" t="e">
        <f t="shared" ca="1" si="88"/>
        <v>#NAME?</v>
      </c>
      <c r="AF49" s="482" t="e">
        <f t="shared" ca="1" si="88"/>
        <v>#NAME?</v>
      </c>
      <c r="AG49" s="482">
        <f t="shared" si="87"/>
        <v>0</v>
      </c>
    </row>
    <row r="50" spans="1:33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</row>
    <row r="51" spans="1:33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" si="89">U51+1</f>
        <v>201502</v>
      </c>
      <c r="W51" s="484">
        <f t="shared" ref="W51" si="90">V51+1</f>
        <v>201503</v>
      </c>
      <c r="X51" s="484">
        <f t="shared" ref="X51" si="91">W51+1</f>
        <v>201504</v>
      </c>
      <c r="Y51" s="484">
        <f t="shared" ref="Y51" si="92">X51+1</f>
        <v>201505</v>
      </c>
      <c r="Z51" s="484">
        <f t="shared" ref="Z51" si="93">Y51+1</f>
        <v>201506</v>
      </c>
      <c r="AA51" s="484">
        <f t="shared" ref="AA51" si="94">Z51+1</f>
        <v>201507</v>
      </c>
      <c r="AB51" s="484">
        <f t="shared" ref="AB51" si="95">AA51+1</f>
        <v>201508</v>
      </c>
      <c r="AC51" s="484">
        <f t="shared" ref="AC51" si="96">AB51+1</f>
        <v>201509</v>
      </c>
      <c r="AD51" s="484">
        <f t="shared" ref="AD51" si="97">AC51+1</f>
        <v>201510</v>
      </c>
      <c r="AE51" s="484">
        <f t="shared" ref="AE51" si="98">AD51+1</f>
        <v>201511</v>
      </c>
      <c r="AF51" s="484">
        <f t="shared" ref="AF51" si="99">AE51+1</f>
        <v>201512</v>
      </c>
    </row>
    <row r="52" spans="1:33">
      <c r="A52" s="483"/>
      <c r="B52" s="481" t="s">
        <v>37</v>
      </c>
      <c r="C52" s="491">
        <f>SUM(U52:AF52)</f>
        <v>39097164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f>Jan!$K36</f>
        <v>8991869</v>
      </c>
      <c r="V52" s="491">
        <f>Feb!$K36</f>
        <v>5607449</v>
      </c>
      <c r="W52" s="491">
        <f>Mar!$K36</f>
        <v>5090227</v>
      </c>
      <c r="X52" s="491">
        <f>Apr!$K36</f>
        <v>3621515</v>
      </c>
      <c r="Y52" s="491">
        <f>May!$K36</f>
        <v>1624041</v>
      </c>
      <c r="Z52" s="491">
        <f>Jun!$K36</f>
        <v>985347</v>
      </c>
      <c r="AA52" s="491">
        <f>Jul!$K36</f>
        <v>990038</v>
      </c>
      <c r="AB52" s="491">
        <f>Aug!$K36</f>
        <v>930531</v>
      </c>
      <c r="AC52" s="491">
        <f>Sep!$K36</f>
        <v>1531464</v>
      </c>
      <c r="AD52" s="491">
        <f>Oct!$K36</f>
        <v>2476612</v>
      </c>
      <c r="AE52" s="491">
        <f>Nov!$K36</f>
        <v>7248071</v>
      </c>
      <c r="AF52" s="491">
        <f>Dec!$K36</f>
        <v>0</v>
      </c>
      <c r="AG52" s="491">
        <f>Jan!$K36</f>
        <v>8991869</v>
      </c>
    </row>
    <row r="53" spans="1:33">
      <c r="A53" s="483"/>
      <c r="B53" s="481" t="s">
        <v>38</v>
      </c>
      <c r="C53" s="491">
        <f t="shared" ref="C53:C60" si="100">SUM(U53:AF53)</f>
        <v>18037646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f>Jan!$K37</f>
        <v>2818068</v>
      </c>
      <c r="V53" s="491">
        <f>Feb!$K37</f>
        <v>2333245</v>
      </c>
      <c r="W53" s="491">
        <f>Mar!$K37</f>
        <v>1927746</v>
      </c>
      <c r="X53" s="491">
        <f>Apr!$K37</f>
        <v>1633221</v>
      </c>
      <c r="Y53" s="491">
        <f>May!$K37</f>
        <v>1075904</v>
      </c>
      <c r="Z53" s="491">
        <f>Jun!$K37</f>
        <v>1089173</v>
      </c>
      <c r="AA53" s="491">
        <f>Jul!$K37</f>
        <v>964252</v>
      </c>
      <c r="AB53" s="491">
        <f>Aug!$K37</f>
        <v>1322423</v>
      </c>
      <c r="AC53" s="491">
        <f>Sep!$K37</f>
        <v>1101192</v>
      </c>
      <c r="AD53" s="491">
        <f>Oct!$K37</f>
        <v>1392647</v>
      </c>
      <c r="AE53" s="491">
        <f>Nov!$K37</f>
        <v>2379775</v>
      </c>
      <c r="AF53" s="491">
        <f>Dec!$K37</f>
        <v>0</v>
      </c>
      <c r="AG53" s="491">
        <f>Jan!$K37</f>
        <v>2818068</v>
      </c>
    </row>
    <row r="54" spans="1:33">
      <c r="A54" s="483"/>
      <c r="B54" s="481" t="s">
        <v>39</v>
      </c>
      <c r="C54" s="491">
        <f t="shared" si="100"/>
        <v>246353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f>Jan!$K38</f>
        <v>2994</v>
      </c>
      <c r="V54" s="491">
        <f>Feb!$K38</f>
        <v>1973</v>
      </c>
      <c r="W54" s="491">
        <f>Mar!$K38</f>
        <v>871</v>
      </c>
      <c r="X54" s="491">
        <f>Apr!$K38</f>
        <v>5610</v>
      </c>
      <c r="Y54" s="491">
        <f>May!$K38</f>
        <v>18173</v>
      </c>
      <c r="Z54" s="491">
        <f>Jun!$K38</f>
        <v>21920</v>
      </c>
      <c r="AA54" s="491">
        <f>Jul!$K38</f>
        <v>28026</v>
      </c>
      <c r="AB54" s="491">
        <f>Aug!$K38</f>
        <v>47622</v>
      </c>
      <c r="AC54" s="491">
        <f>Sep!$K38</f>
        <v>26734</v>
      </c>
      <c r="AD54" s="491">
        <f>Oct!$K38</f>
        <v>68934</v>
      </c>
      <c r="AE54" s="491">
        <f>Nov!$K38</f>
        <v>23496</v>
      </c>
      <c r="AF54" s="491">
        <f>Dec!$K38</f>
        <v>0</v>
      </c>
      <c r="AG54" s="491">
        <f>Jan!$K38</f>
        <v>2994</v>
      </c>
    </row>
    <row r="55" spans="1:33">
      <c r="A55" s="483"/>
      <c r="B55" s="481" t="s">
        <v>40</v>
      </c>
      <c r="C55" s="491">
        <f t="shared" si="100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f>Jan!$K39</f>
        <v>0</v>
      </c>
      <c r="V55" s="491">
        <f>Feb!$K39</f>
        <v>0</v>
      </c>
      <c r="W55" s="491">
        <f>Mar!$K39</f>
        <v>0</v>
      </c>
      <c r="X55" s="491">
        <f>Apr!$K39</f>
        <v>0</v>
      </c>
      <c r="Y55" s="491">
        <f>May!$K39</f>
        <v>0</v>
      </c>
      <c r="Z55" s="491">
        <f>Jun!$K39</f>
        <v>0</v>
      </c>
      <c r="AA55" s="491">
        <f>Jul!$K39</f>
        <v>0</v>
      </c>
      <c r="AB55" s="491">
        <f>Aug!$K39</f>
        <v>0</v>
      </c>
      <c r="AC55" s="491">
        <f>Sep!$K39</f>
        <v>0</v>
      </c>
      <c r="AD55" s="491">
        <f>Oct!$K39</f>
        <v>0</v>
      </c>
      <c r="AE55" s="491">
        <f>Nov!$K39</f>
        <v>0</v>
      </c>
      <c r="AF55" s="491">
        <f>Dec!$K39</f>
        <v>0</v>
      </c>
      <c r="AG55" s="491">
        <f>Jan!$K39</f>
        <v>0</v>
      </c>
    </row>
    <row r="56" spans="1:33" hidden="1">
      <c r="A56" s="483"/>
      <c r="B56" s="481" t="s">
        <v>41</v>
      </c>
      <c r="C56" s="491">
        <f t="shared" si="100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</row>
    <row r="57" spans="1:33" hidden="1">
      <c r="A57" s="483"/>
      <c r="B57" s="481" t="s">
        <v>42</v>
      </c>
      <c r="C57" s="491">
        <f t="shared" si="100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</row>
    <row r="58" spans="1:33">
      <c r="A58" s="483"/>
      <c r="B58" s="481" t="s">
        <v>43</v>
      </c>
      <c r="C58" s="491">
        <f t="shared" si="100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f>Jan!$K42</f>
        <v>40458</v>
      </c>
      <c r="V58" s="491">
        <f>Feb!$K42</f>
        <v>33212</v>
      </c>
      <c r="W58" s="491">
        <f>Mar!$K42</f>
        <v>33140</v>
      </c>
      <c r="X58" s="491">
        <f>Apr!$K42</f>
        <v>25684</v>
      </c>
      <c r="Y58" s="491">
        <f>May!$K42</f>
        <v>15779</v>
      </c>
      <c r="Z58" s="491">
        <f>Jun!$K42</f>
        <v>0</v>
      </c>
      <c r="AA58" s="491">
        <f>Jul!$K42</f>
        <v>0</v>
      </c>
      <c r="AB58" s="491">
        <f>Aug!$K42</f>
        <v>0</v>
      </c>
      <c r="AC58" s="491">
        <f>Sep!$K42</f>
        <v>0</v>
      </c>
      <c r="AD58" s="491">
        <f>Oct!$K42</f>
        <v>0</v>
      </c>
      <c r="AE58" s="491">
        <f>Nov!$K42</f>
        <v>0</v>
      </c>
      <c r="AF58" s="491">
        <f>Dec!$K42</f>
        <v>0</v>
      </c>
      <c r="AG58" s="491">
        <f>Jan!$K42</f>
        <v>40458</v>
      </c>
    </row>
    <row r="59" spans="1:33" hidden="1">
      <c r="A59" s="483"/>
      <c r="B59" s="481" t="s">
        <v>74</v>
      </c>
      <c r="C59" s="491">
        <f t="shared" ref="C59" si="101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</row>
    <row r="60" spans="1:33" ht="16" thickBot="1">
      <c r="A60" s="483"/>
      <c r="B60" s="481" t="s">
        <v>21</v>
      </c>
      <c r="C60" s="542">
        <f t="shared" si="100"/>
        <v>57529436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102">SUM(G52:G59)</f>
        <v>9560411</v>
      </c>
      <c r="H60" s="542">
        <f t="shared" si="102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C60" si="103">SUM(U52:U59)</f>
        <v>11853389</v>
      </c>
      <c r="V60" s="542">
        <f t="shared" si="103"/>
        <v>7975879</v>
      </c>
      <c r="W60" s="542">
        <f t="shared" si="103"/>
        <v>7051984</v>
      </c>
      <c r="X60" s="542">
        <f t="shared" si="103"/>
        <v>5286030</v>
      </c>
      <c r="Y60" s="542">
        <f t="shared" si="103"/>
        <v>2733897</v>
      </c>
      <c r="Z60" s="542">
        <f t="shared" si="103"/>
        <v>2096440</v>
      </c>
      <c r="AA60" s="542">
        <f t="shared" si="103"/>
        <v>1982316</v>
      </c>
      <c r="AB60" s="542">
        <f t="shared" si="103"/>
        <v>2300576</v>
      </c>
      <c r="AC60" s="542">
        <f t="shared" si="103"/>
        <v>2659390</v>
      </c>
      <c r="AD60" s="542">
        <f t="shared" ref="AD60:AF60" si="104">SUM(AD52:AD59)</f>
        <v>3938193</v>
      </c>
      <c r="AE60" s="542">
        <f t="shared" si="104"/>
        <v>9651342</v>
      </c>
      <c r="AF60" s="542">
        <f t="shared" si="104"/>
        <v>0</v>
      </c>
    </row>
    <row r="61" spans="1:33" ht="16" thickTop="1">
      <c r="A61" s="483"/>
      <c r="B61" s="481" t="s">
        <v>269</v>
      </c>
      <c r="C61" s="491">
        <f>SUM(U61:AF61)</f>
        <v>57529436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f>Mar!K44</f>
        <v>7051984</v>
      </c>
      <c r="X61" s="543">
        <v>5286030</v>
      </c>
      <c r="Y61" s="684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684">
        <v>9651342</v>
      </c>
    </row>
    <row r="62" spans="1:33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</row>
    <row r="63" spans="1:33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" si="105">U63+1</f>
        <v>201502</v>
      </c>
      <c r="W63" s="484">
        <f t="shared" ref="W63" si="106">V63+1</f>
        <v>201503</v>
      </c>
      <c r="X63" s="484">
        <f t="shared" ref="X63" si="107">W63+1</f>
        <v>201504</v>
      </c>
      <c r="Y63" s="484">
        <f t="shared" ref="Y63" si="108">X63+1</f>
        <v>201505</v>
      </c>
      <c r="Z63" s="484">
        <f t="shared" ref="Z63" si="109">Y63+1</f>
        <v>201506</v>
      </c>
      <c r="AA63" s="484">
        <f t="shared" ref="AA63" si="110">Z63+1</f>
        <v>201507</v>
      </c>
      <c r="AB63" s="484">
        <f t="shared" ref="AB63" si="111">AA63+1</f>
        <v>201508</v>
      </c>
      <c r="AC63" s="484">
        <f t="shared" ref="AC63" si="112">AB63+1</f>
        <v>201509</v>
      </c>
      <c r="AD63" s="484">
        <f t="shared" ref="AD63" si="113">AC63+1</f>
        <v>201510</v>
      </c>
      <c r="AE63" s="484">
        <f t="shared" ref="AE63" si="114">AD63+1</f>
        <v>201511</v>
      </c>
      <c r="AF63" s="484">
        <f t="shared" ref="AF63" si="115">AE63+1</f>
        <v>201512</v>
      </c>
    </row>
    <row r="64" spans="1:33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</row>
    <row r="65" spans="1:39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</row>
    <row r="66" spans="1:39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</row>
    <row r="67" spans="1:39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H67" s="707" t="s">
        <v>330</v>
      </c>
      <c r="AI67" s="708"/>
      <c r="AJ67" s="708"/>
      <c r="AK67" s="708"/>
      <c r="AL67" s="708"/>
      <c r="AM67" s="708"/>
    </row>
    <row r="68" spans="1:39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H68" s="708"/>
      <c r="AI68" s="708"/>
      <c r="AJ68" s="708"/>
      <c r="AK68" s="708"/>
      <c r="AL68" s="708"/>
      <c r="AM68" s="708"/>
    </row>
    <row r="69" spans="1:39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H69" s="708"/>
      <c r="AI69" s="708"/>
      <c r="AJ69" s="708"/>
      <c r="AK69" s="708"/>
      <c r="AL69" s="708"/>
      <c r="AM69" s="708"/>
    </row>
    <row r="70" spans="1:39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H70" s="708"/>
      <c r="AI70" s="708"/>
      <c r="AJ70" s="708"/>
      <c r="AK70" s="708"/>
      <c r="AL70" s="708"/>
      <c r="AM70" s="708"/>
    </row>
    <row r="71" spans="1:39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H71" s="708"/>
      <c r="AI71" s="708"/>
      <c r="AJ71" s="708"/>
      <c r="AK71" s="708"/>
      <c r="AL71" s="708"/>
      <c r="AM71" s="708"/>
    </row>
    <row r="72" spans="1:39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H72" s="708"/>
      <c r="AI72" s="708"/>
      <c r="AJ72" s="708"/>
      <c r="AK72" s="708"/>
      <c r="AL72" s="708"/>
      <c r="AM72" s="708"/>
    </row>
    <row r="73" spans="1:39" s="483" customFormat="1" ht="16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" si="116">U73+1</f>
        <v>201502</v>
      </c>
      <c r="W73" s="484">
        <f t="shared" ref="W73" si="117">V73+1</f>
        <v>201503</v>
      </c>
      <c r="X73" s="484">
        <f t="shared" ref="X73" si="118">W73+1</f>
        <v>201504</v>
      </c>
      <c r="Y73" s="484">
        <f t="shared" ref="Y73" si="119">X73+1</f>
        <v>201505</v>
      </c>
      <c r="Z73" s="484">
        <f t="shared" ref="Z73" si="120">Y73+1</f>
        <v>201506</v>
      </c>
      <c r="AA73" s="484">
        <f t="shared" ref="AA73" si="121">Z73+1</f>
        <v>201507</v>
      </c>
      <c r="AB73" s="484">
        <f t="shared" ref="AB73" si="122">AA73+1</f>
        <v>201508</v>
      </c>
      <c r="AC73" s="484">
        <f t="shared" ref="AC73" si="123">AB73+1</f>
        <v>201509</v>
      </c>
      <c r="AD73" s="484">
        <f t="shared" ref="AD73" si="124">AC73+1</f>
        <v>201510</v>
      </c>
      <c r="AE73" s="484">
        <f t="shared" ref="AE73" si="125">AD73+1</f>
        <v>201511</v>
      </c>
      <c r="AF73" s="484">
        <f t="shared" ref="AF73" si="126">AE73+1</f>
        <v>201512</v>
      </c>
      <c r="AH73" s="564" t="s">
        <v>330</v>
      </c>
      <c r="AI73" s="525"/>
      <c r="AJ73" s="482"/>
      <c r="AK73" s="482"/>
      <c r="AL73" s="482"/>
      <c r="AM73" s="482"/>
    </row>
    <row r="74" spans="1:39" s="483" customFormat="1" ht="16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H74" s="513">
        <f>AH4</f>
        <v>201511</v>
      </c>
      <c r="AI74" s="526"/>
      <c r="AJ74" s="514"/>
      <c r="AK74" s="514"/>
      <c r="AL74" s="523"/>
      <c r="AM74" s="515"/>
    </row>
    <row r="75" spans="1:39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f>U79</f>
        <v>-11881.722960675279</v>
      </c>
      <c r="W75" s="482">
        <f t="shared" ref="W75" si="127">V79</f>
        <v>-11901.532960675278</v>
      </c>
      <c r="X75" s="482">
        <f t="shared" ref="X75" si="128">W79</f>
        <v>-11911.450904809175</v>
      </c>
      <c r="Y75" s="482">
        <f t="shared" ref="Y75" si="129">X79</f>
        <v>-11921.377113896517</v>
      </c>
      <c r="Z75" s="482">
        <f t="shared" ref="Z75" si="130">Y79</f>
        <v>-11931.311594824763</v>
      </c>
      <c r="AA75" s="482">
        <f t="shared" ref="AA75" si="131">Z79</f>
        <v>-11941.254354487117</v>
      </c>
      <c r="AB75" s="482">
        <f t="shared" ref="AB75" si="132">AA79</f>
        <v>-11951.205399782522</v>
      </c>
      <c r="AC75" s="482">
        <f t="shared" ref="AC75" si="133">AB79</f>
        <v>-11961.164737615674</v>
      </c>
      <c r="AD75" s="482">
        <f t="shared" ref="AD75" si="134">AC79</f>
        <v>-11971.132374897021</v>
      </c>
      <c r="AE75" s="482">
        <f t="shared" ref="AE75" si="135">AD79</f>
        <v>-11981.108318542769</v>
      </c>
      <c r="AF75" s="482">
        <f t="shared" ref="AF75" si="136">AE79</f>
        <v>-11991.092575474888</v>
      </c>
      <c r="AH75" s="497" t="s">
        <v>308</v>
      </c>
      <c r="AI75" s="527">
        <v>419600</v>
      </c>
      <c r="AJ75" s="498" t="s">
        <v>288</v>
      </c>
      <c r="AK75" s="498" t="s">
        <v>291</v>
      </c>
      <c r="AL75" s="470">
        <f>IF(SUMIF(U72:AF72,AH73,U76:AF76)&lt;0,-SUMIF(U72:AF72,AH73,U76:AF76),0)</f>
        <v>0</v>
      </c>
      <c r="AM75" s="520">
        <f>IF(SUMIF(U73:AF73,AH74,U77:AF77)&gt;0,SUMIF(U73:AF73,AH74,U77:AF77),0)</f>
        <v>0</v>
      </c>
    </row>
    <row r="76" spans="1:39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137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H76" s="499" t="s">
        <v>309</v>
      </c>
      <c r="AI76" s="528">
        <v>431600</v>
      </c>
      <c r="AJ76" s="358" t="s">
        <v>288</v>
      </c>
      <c r="AK76" s="358" t="s">
        <v>291</v>
      </c>
      <c r="AL76" s="381">
        <f>IF(SUMIF(U73:AF73,AH74,U77:AF77)&lt;0,-SUMIF(U73:AF73,AH74,U77:AF77),0)</f>
        <v>9.9842569321189742</v>
      </c>
      <c r="AM76" s="500">
        <v>0</v>
      </c>
    </row>
    <row r="77" spans="1:39">
      <c r="B77" s="481" t="s">
        <v>4</v>
      </c>
      <c r="C77" s="482">
        <f t="shared" ref="C77:C78" si="138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f t="shared" ref="W77:AD77" si="139">((W75*(W74/12))+((W76/2)*(W74/12)))</f>
        <v>-9.9179441338960661</v>
      </c>
      <c r="X77" s="489">
        <f t="shared" si="139"/>
        <v>-9.926209087340979</v>
      </c>
      <c r="Y77" s="489">
        <f t="shared" si="139"/>
        <v>-9.9344809282470976</v>
      </c>
      <c r="Z77" s="489">
        <f t="shared" si="139"/>
        <v>-9.9427596623539696</v>
      </c>
      <c r="AA77" s="489">
        <f t="shared" si="139"/>
        <v>-9.9510452954059314</v>
      </c>
      <c r="AB77" s="489">
        <f t="shared" si="139"/>
        <v>-9.9593378331521034</v>
      </c>
      <c r="AC77" s="489">
        <f t="shared" si="139"/>
        <v>-9.9676372813463967</v>
      </c>
      <c r="AD77" s="489">
        <f t="shared" si="139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H77" s="499" t="s">
        <v>312</v>
      </c>
      <c r="AI77" s="528">
        <v>191015</v>
      </c>
      <c r="AJ77" s="358" t="s">
        <v>288</v>
      </c>
      <c r="AK77" s="358" t="s">
        <v>291</v>
      </c>
      <c r="AL77" s="381">
        <f>IF((SUMIF(U73:AF73,AH74,U76:AF76)+SUMIF(U73:AF73,AH74,U77:AF77))&gt;0,(SUMIF(U73:AF73,AH74,U76:AF76)+SUMIF(U73:AF73,AH74,U77:AF77)),0)</f>
        <v>0</v>
      </c>
      <c r="AM77" s="500">
        <f>IF((SUMIF(U73:AF73,AH74,U76:AF76)+SUMIF(U73:AF73,AH74,U77:AF77))&lt;0,-(SUMIF(U73:AF73,AH74,U76:AF76)+SUMIF(U73:AF73,AH74,U77:AF77)),0)</f>
        <v>9.9842569321189742</v>
      </c>
    </row>
    <row r="78" spans="1:39">
      <c r="B78" s="481" t="s">
        <v>148</v>
      </c>
      <c r="C78" s="482">
        <f t="shared" si="138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H78" s="499" t="s">
        <v>313</v>
      </c>
      <c r="AI78" s="528">
        <v>805111</v>
      </c>
      <c r="AJ78" s="358" t="s">
        <v>288</v>
      </c>
      <c r="AK78" s="358" t="s">
        <v>291</v>
      </c>
      <c r="AL78" s="381">
        <f>IF((SUMIF(U73:AF73,AH74,U76:AF76))&lt;0,-(SUMIF(U73:AF73,AH74,U76:AF76)),0)</f>
        <v>0</v>
      </c>
      <c r="AM78" s="500">
        <f>IF((SUMIF(U73:AF73,AH74,U76:AF76))&gt;0,(SUMIF(U73:AF73,AH74,U76:AF76)),0)</f>
        <v>0</v>
      </c>
    </row>
    <row r="79" spans="1:39" ht="16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F79" si="140">SUM(V75:V78)</f>
        <v>-11901.532960675278</v>
      </c>
      <c r="W79" s="541">
        <f t="shared" si="140"/>
        <v>-11911.450904809175</v>
      </c>
      <c r="X79" s="541">
        <f t="shared" si="140"/>
        <v>-11921.377113896517</v>
      </c>
      <c r="Y79" s="541">
        <f t="shared" si="140"/>
        <v>-11931.311594824763</v>
      </c>
      <c r="Z79" s="541">
        <f t="shared" si="140"/>
        <v>-11941.254354487117</v>
      </c>
      <c r="AA79" s="541">
        <f t="shared" si="140"/>
        <v>-11951.205399782522</v>
      </c>
      <c r="AB79" s="541">
        <f t="shared" si="140"/>
        <v>-11961.164737615674</v>
      </c>
      <c r="AC79" s="541">
        <f t="shared" si="140"/>
        <v>-11971.132374897021</v>
      </c>
      <c r="AD79" s="541">
        <f t="shared" si="140"/>
        <v>-11981.108318542769</v>
      </c>
      <c r="AE79" s="541">
        <f t="shared" si="140"/>
        <v>-11991.092575474888</v>
      </c>
      <c r="AF79" s="541">
        <f t="shared" si="140"/>
        <v>-12001.085152621117</v>
      </c>
      <c r="AH79" s="499" t="s">
        <v>332</v>
      </c>
      <c r="AI79" s="528">
        <v>191015</v>
      </c>
      <c r="AJ79" s="358" t="s">
        <v>288</v>
      </c>
      <c r="AK79" s="358" t="s">
        <v>291</v>
      </c>
      <c r="AL79" s="381">
        <v>0</v>
      </c>
      <c r="AM79" s="500">
        <v>0</v>
      </c>
    </row>
    <row r="80" spans="1:39" ht="16.5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 t="e">
        <f ca="1">_xll.Get_Balance(V73,"YTD","USD","Total","A","","001",$A$73,"GD","ID","DL")</f>
        <v>#NAME?</v>
      </c>
      <c r="W80" s="482" t="e">
        <f ca="1">_xll.Get_Balance(W73,"YTD","USD","Total","A","","001",$A$73,"GD","ID","DL")</f>
        <v>#NAME?</v>
      </c>
      <c r="X80" s="482" t="e">
        <f ca="1">_xll.Get_Balance(X73,"YTD","USD","Total","A","","001",$A$73,"GD","ID","DL")</f>
        <v>#NAME?</v>
      </c>
      <c r="Y80" s="482" t="e">
        <f ca="1">_xll.Get_Balance(Y73,"YTD","USD","Total","A","","001",$A$73,"GD","ID","DL")</f>
        <v>#NAME?</v>
      </c>
      <c r="Z80" s="482" t="e">
        <f ca="1">_xll.Get_Balance(Z73,"YTD","USD","Total","A","","001",$A$73,"GD","ID","DL")</f>
        <v>#NAME?</v>
      </c>
      <c r="AA80" s="482" t="e">
        <f ca="1">_xll.Get_Balance(AA73,"YTD","USD","Total","A","","001",$A$73,"GD","ID","DL")</f>
        <v>#NAME?</v>
      </c>
      <c r="AB80" s="482" t="e">
        <f ca="1">_xll.Get_Balance(AB73,"YTD","USD","Total","A","","001",$A$73,"GD","ID","DL")</f>
        <v>#NAME?</v>
      </c>
      <c r="AC80" s="482" t="e">
        <f ca="1">_xll.Get_Balance(AC73,"YTD","USD","Total","A","","001",$A$73,"GD","ID","DL")</f>
        <v>#NAME?</v>
      </c>
      <c r="AD80" s="482" t="e">
        <f ca="1">_xll.Get_Balance(AD73,"YTD","USD","Total","A","","001",$A$73,"GD","ID","DL")</f>
        <v>#NAME?</v>
      </c>
      <c r="AE80" s="482" t="e">
        <f ca="1">_xll.Get_Balance(AE73,"YTD","USD","Total","A","","001",$A$73,"GD","ID","DL")</f>
        <v>#NAME?</v>
      </c>
      <c r="AF80" s="482" t="e">
        <f ca="1">_xll.Get_Balance(AF73,"YTD","USD","Total","A","","001",$A$73,"GD","ID","DL")</f>
        <v>#NAME?</v>
      </c>
      <c r="AH80" s="501" t="s">
        <v>332</v>
      </c>
      <c r="AI80" s="529">
        <v>431600</v>
      </c>
      <c r="AJ80" s="502" t="s">
        <v>288</v>
      </c>
      <c r="AK80" s="502" t="s">
        <v>291</v>
      </c>
      <c r="AL80" s="464">
        <v>0</v>
      </c>
      <c r="AM80" s="521">
        <v>0</v>
      </c>
    </row>
    <row r="81" spans="2:41" ht="16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 t="e">
        <f t="shared" ref="V81:AC81" ca="1" si="141">V79-V80</f>
        <v>#NAME?</v>
      </c>
      <c r="W81" s="482" t="e">
        <f t="shared" ca="1" si="141"/>
        <v>#NAME?</v>
      </c>
      <c r="X81" s="482" t="e">
        <f t="shared" ca="1" si="141"/>
        <v>#NAME?</v>
      </c>
      <c r="Y81" s="482" t="e">
        <f t="shared" ca="1" si="141"/>
        <v>#NAME?</v>
      </c>
      <c r="Z81" s="482" t="e">
        <f t="shared" ca="1" si="141"/>
        <v>#NAME?</v>
      </c>
      <c r="AA81" s="482" t="e">
        <f t="shared" ca="1" si="141"/>
        <v>#NAME?</v>
      </c>
      <c r="AB81" s="482" t="e">
        <f t="shared" ca="1" si="141"/>
        <v>#NAME?</v>
      </c>
      <c r="AC81" s="482" t="e">
        <f t="shared" ca="1" si="141"/>
        <v>#NAME?</v>
      </c>
      <c r="AD81" s="482" t="e">
        <f t="shared" ref="AD81:AF81" ca="1" si="142">AD79-AD80</f>
        <v>#NAME?</v>
      </c>
      <c r="AE81" s="482" t="e">
        <f t="shared" ca="1" si="142"/>
        <v>#NAME?</v>
      </c>
      <c r="AF81" s="482" t="e">
        <f t="shared" ca="1" si="142"/>
        <v>#NAME?</v>
      </c>
      <c r="AH81" s="516"/>
      <c r="AI81" s="530"/>
      <c r="AJ81" s="517"/>
      <c r="AK81" s="517"/>
      <c r="AL81" s="517" t="s">
        <v>159</v>
      </c>
      <c r="AM81" s="518">
        <f>SUM(AL75:AL80)-SUM(AM75:AM80)</f>
        <v>0</v>
      </c>
    </row>
    <row r="84" spans="2:41">
      <c r="X84" s="576"/>
      <c r="Y84" s="576"/>
      <c r="Z84" s="576"/>
      <c r="AA84" s="576"/>
      <c r="AB84" s="576"/>
      <c r="AC84" s="576"/>
      <c r="AD84" s="576"/>
      <c r="AE84" s="576"/>
      <c r="AF84" s="576"/>
      <c r="AG84" s="576"/>
      <c r="AH84" s="709"/>
      <c r="AI84" s="710"/>
      <c r="AJ84" s="710"/>
      <c r="AK84" s="710"/>
      <c r="AL84" s="710"/>
      <c r="AM84" s="710"/>
      <c r="AN84" s="576"/>
      <c r="AO84" s="576"/>
    </row>
    <row r="85" spans="2:41">
      <c r="X85" s="576"/>
      <c r="Y85" s="576"/>
      <c r="Z85" s="576"/>
      <c r="AA85" s="576"/>
      <c r="AB85" s="576"/>
      <c r="AC85" s="576"/>
      <c r="AD85" s="576"/>
      <c r="AE85" s="576"/>
      <c r="AF85" s="576"/>
      <c r="AG85" s="576"/>
      <c r="AH85" s="710"/>
      <c r="AI85" s="710"/>
      <c r="AJ85" s="710"/>
      <c r="AK85" s="710"/>
      <c r="AL85" s="710"/>
      <c r="AM85" s="710"/>
      <c r="AN85" s="576"/>
      <c r="AO85" s="576"/>
    </row>
    <row r="86" spans="2:41">
      <c r="X86" s="576"/>
      <c r="Y86" s="576"/>
      <c r="Z86" s="576"/>
      <c r="AA86" s="576"/>
      <c r="AB86" s="576"/>
      <c r="AC86" s="576"/>
      <c r="AD86" s="576"/>
      <c r="AE86" s="576"/>
      <c r="AF86" s="576"/>
      <c r="AG86" s="576"/>
      <c r="AH86" s="710"/>
      <c r="AI86" s="710"/>
      <c r="AJ86" s="710"/>
      <c r="AK86" s="710"/>
      <c r="AL86" s="710"/>
      <c r="AM86" s="710"/>
      <c r="AN86" s="576"/>
      <c r="AO86" s="576"/>
    </row>
    <row r="87" spans="2:41">
      <c r="X87" s="576"/>
      <c r="Y87" s="576"/>
      <c r="Z87" s="576"/>
      <c r="AA87" s="576"/>
      <c r="AB87" s="576"/>
      <c r="AC87" s="576"/>
      <c r="AD87" s="576"/>
      <c r="AE87" s="576"/>
      <c r="AF87" s="576"/>
      <c r="AG87" s="576"/>
      <c r="AH87" s="710"/>
      <c r="AI87" s="710"/>
      <c r="AJ87" s="710"/>
      <c r="AK87" s="710"/>
      <c r="AL87" s="710"/>
      <c r="AM87" s="710"/>
      <c r="AN87" s="576"/>
      <c r="AO87" s="576"/>
    </row>
    <row r="88" spans="2:41">
      <c r="X88" s="576"/>
      <c r="Y88" s="576"/>
      <c r="Z88" s="576"/>
      <c r="AA88" s="576"/>
      <c r="AB88" s="576"/>
      <c r="AC88" s="576"/>
      <c r="AD88" s="576"/>
      <c r="AE88" s="576"/>
      <c r="AF88" s="576"/>
      <c r="AG88" s="576"/>
      <c r="AH88" s="710"/>
      <c r="AI88" s="710"/>
      <c r="AJ88" s="710"/>
      <c r="AK88" s="710"/>
      <c r="AL88" s="710"/>
      <c r="AM88" s="710"/>
      <c r="AN88" s="576"/>
      <c r="AO88" s="576"/>
    </row>
    <row r="89" spans="2:41">
      <c r="X89" s="576"/>
      <c r="Y89" s="576"/>
      <c r="Z89" s="576"/>
      <c r="AA89" s="576"/>
      <c r="AB89" s="576"/>
      <c r="AC89" s="576"/>
      <c r="AD89" s="576"/>
      <c r="AE89" s="576"/>
      <c r="AF89" s="576"/>
      <c r="AG89" s="576"/>
      <c r="AH89" s="710"/>
      <c r="AI89" s="710"/>
      <c r="AJ89" s="710"/>
      <c r="AK89" s="710"/>
      <c r="AL89" s="710"/>
      <c r="AM89" s="710"/>
      <c r="AN89" s="576"/>
      <c r="AO89" s="576"/>
    </row>
    <row r="90" spans="2:41">
      <c r="X90" s="576"/>
      <c r="Y90" s="576"/>
      <c r="Z90" s="576"/>
      <c r="AA90" s="576"/>
      <c r="AB90" s="576"/>
      <c r="AC90" s="576"/>
      <c r="AD90" s="576"/>
      <c r="AE90" s="576"/>
      <c r="AF90" s="576"/>
      <c r="AG90" s="576"/>
      <c r="AH90" s="358"/>
      <c r="AI90" s="528"/>
      <c r="AJ90" s="358"/>
      <c r="AK90" s="358"/>
      <c r="AL90" s="576"/>
      <c r="AM90" s="576"/>
      <c r="AN90" s="576"/>
      <c r="AO90" s="576"/>
    </row>
    <row r="91" spans="2:41">
      <c r="M91" s="482">
        <v>13246436.58</v>
      </c>
      <c r="X91" s="576"/>
      <c r="Y91" s="576"/>
      <c r="Z91" s="576"/>
      <c r="AA91" s="576"/>
      <c r="AB91" s="576"/>
      <c r="AC91" s="576"/>
      <c r="AD91" s="576"/>
      <c r="AE91" s="576"/>
      <c r="AF91" s="576"/>
      <c r="AG91" s="576"/>
      <c r="AH91" s="7"/>
      <c r="AI91" s="209"/>
      <c r="AJ91" s="7"/>
      <c r="AK91" s="7"/>
      <c r="AL91" s="576"/>
      <c r="AM91" s="576"/>
      <c r="AN91" s="576"/>
      <c r="AO91" s="576"/>
    </row>
    <row r="92" spans="2:41">
      <c r="X92" s="576"/>
      <c r="Y92" s="576"/>
      <c r="Z92" s="576"/>
      <c r="AA92" s="576"/>
      <c r="AB92" s="576"/>
      <c r="AC92" s="576"/>
      <c r="AD92" s="576"/>
      <c r="AE92" s="576"/>
      <c r="AF92" s="576"/>
      <c r="AG92" s="576"/>
      <c r="AH92" s="358"/>
      <c r="AI92" s="528"/>
      <c r="AJ92" s="358"/>
      <c r="AK92" s="358"/>
      <c r="AL92" s="576"/>
      <c r="AM92" s="576"/>
      <c r="AN92" s="576"/>
      <c r="AO92" s="576"/>
    </row>
    <row r="93" spans="2:41">
      <c r="X93" s="576"/>
      <c r="Y93" s="576"/>
      <c r="Z93" s="576"/>
      <c r="AA93" s="576"/>
      <c r="AB93" s="576"/>
      <c r="AC93" s="576"/>
      <c r="AD93" s="576"/>
      <c r="AE93" s="576"/>
      <c r="AF93" s="576"/>
      <c r="AG93" s="576"/>
      <c r="AH93" s="576"/>
      <c r="AI93" s="603"/>
      <c r="AJ93" s="576"/>
      <c r="AK93" s="576"/>
      <c r="AL93" s="576"/>
      <c r="AM93" s="576"/>
      <c r="AN93" s="576"/>
      <c r="AO93" s="576"/>
    </row>
  </sheetData>
  <mergeCells count="3">
    <mergeCell ref="AH67:AM72"/>
    <mergeCell ref="AH84:AM89"/>
    <mergeCell ref="AH31:AL36"/>
  </mergeCells>
  <conditionalFormatting sqref="E28">
    <cfRule type="cellIs" dxfId="661" priority="32" operator="notEqual">
      <formula>E27</formula>
    </cfRule>
  </conditionalFormatting>
  <conditionalFormatting sqref="F28">
    <cfRule type="cellIs" dxfId="660" priority="31" operator="notEqual">
      <formula>F27</formula>
    </cfRule>
  </conditionalFormatting>
  <conditionalFormatting sqref="G28">
    <cfRule type="cellIs" dxfId="659" priority="30" operator="notEqual">
      <formula>G27</formula>
    </cfRule>
  </conditionalFormatting>
  <conditionalFormatting sqref="H28">
    <cfRule type="cellIs" dxfId="658" priority="29" operator="notEqual">
      <formula>H27</formula>
    </cfRule>
  </conditionalFormatting>
  <conditionalFormatting sqref="C28">
    <cfRule type="cellIs" dxfId="657" priority="28" operator="notEqual">
      <formula>C27</formula>
    </cfRule>
  </conditionalFormatting>
  <conditionalFormatting sqref="F61">
    <cfRule type="cellIs" dxfId="656" priority="25" operator="notEqual">
      <formula>F60</formula>
    </cfRule>
  </conditionalFormatting>
  <conditionalFormatting sqref="G61">
    <cfRule type="cellIs" dxfId="655" priority="24" operator="notEqual">
      <formula>G60</formula>
    </cfRule>
  </conditionalFormatting>
  <conditionalFormatting sqref="H61">
    <cfRule type="cellIs" dxfId="654" priority="23" operator="notEqual">
      <formula>H60</formula>
    </cfRule>
  </conditionalFormatting>
  <conditionalFormatting sqref="C61">
    <cfRule type="cellIs" dxfId="653" priority="22" operator="notEqual">
      <formula>C60</formula>
    </cfRule>
  </conditionalFormatting>
  <conditionalFormatting sqref="I61">
    <cfRule type="cellIs" dxfId="652" priority="20" operator="notEqual">
      <formula>I60</formula>
    </cfRule>
  </conditionalFormatting>
  <conditionalFormatting sqref="AM81 AM48 AM11">
    <cfRule type="cellIs" dxfId="651" priority="19" operator="notEqual">
      <formula>0</formula>
    </cfRule>
  </conditionalFormatting>
  <conditionalFormatting sqref="I28">
    <cfRule type="cellIs" dxfId="650" priority="15" operator="notEqual">
      <formula>I27</formula>
    </cfRule>
  </conditionalFormatting>
  <conditionalFormatting sqref="J28">
    <cfRule type="cellIs" dxfId="649" priority="14" operator="notEqual">
      <formula>J27</formula>
    </cfRule>
  </conditionalFormatting>
  <conditionalFormatting sqref="J61">
    <cfRule type="cellIs" dxfId="648" priority="13" operator="notEqual">
      <formula>J60</formula>
    </cfRule>
  </conditionalFormatting>
  <conditionalFormatting sqref="K28">
    <cfRule type="cellIs" dxfId="647" priority="12" operator="notEqual">
      <formula>K27</formula>
    </cfRule>
  </conditionalFormatting>
  <conditionalFormatting sqref="K61">
    <cfRule type="cellIs" dxfId="646" priority="11" operator="notEqual">
      <formula>K60</formula>
    </cfRule>
  </conditionalFormatting>
  <conditionalFormatting sqref="L28:M28">
    <cfRule type="cellIs" dxfId="645" priority="10" operator="notEqual">
      <formula>L27</formula>
    </cfRule>
  </conditionalFormatting>
  <conditionalFormatting sqref="N28">
    <cfRule type="cellIs" dxfId="644" priority="9" operator="notEqual">
      <formula>N27</formula>
    </cfRule>
  </conditionalFormatting>
  <conditionalFormatting sqref="U61">
    <cfRule type="cellIs" dxfId="643" priority="8" operator="notEqual">
      <formula>U60</formula>
    </cfRule>
  </conditionalFormatting>
  <conditionalFormatting sqref="U28:V28">
    <cfRule type="cellIs" dxfId="642" priority="7" operator="notEqual">
      <formula>U27</formula>
    </cfRule>
  </conditionalFormatting>
  <conditionalFormatting sqref="V28">
    <cfRule type="cellIs" dxfId="641" priority="6" operator="notEqual">
      <formula>V27</formula>
    </cfRule>
  </conditionalFormatting>
  <conditionalFormatting sqref="V61">
    <cfRule type="cellIs" dxfId="640" priority="5" operator="notEqual">
      <formula>V60</formula>
    </cfRule>
  </conditionalFormatting>
  <conditionalFormatting sqref="W28">
    <cfRule type="cellIs" dxfId="639" priority="4" operator="notEqual">
      <formula>W27</formula>
    </cfRule>
  </conditionalFormatting>
  <conditionalFormatting sqref="W61">
    <cfRule type="cellIs" dxfId="638" priority="3" operator="notEqual">
      <formula>W60</formula>
    </cfRule>
  </conditionalFormatting>
  <conditionalFormatting sqref="X28:Y28">
    <cfRule type="cellIs" dxfId="637" priority="2" operator="notEqual">
      <formula>X27</formula>
    </cfRule>
  </conditionalFormatting>
  <conditionalFormatting sqref="Z28">
    <cfRule type="cellIs" dxfId="636" priority="1" operator="notEqual">
      <formula>Z27</formula>
    </cfRule>
  </conditionalFormatting>
  <pageMargins left="0" right="0" top="0.75" bottom="0.75" header="0.3" footer="0.3"/>
  <pageSetup scale="37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5">
    <pageSetUpPr fitToPage="1"/>
  </sheetPr>
  <dimension ref="A1:AM84"/>
  <sheetViews>
    <sheetView zoomScale="85" zoomScaleNormal="85" zoomScaleSheetLayoutView="85" workbookViewId="0">
      <selection activeCell="AD6" sqref="AD6:AD7"/>
    </sheetView>
  </sheetViews>
  <sheetFormatPr defaultColWidth="9.09765625" defaultRowHeight="15.5"/>
  <cols>
    <col min="1" max="1" width="17.296875" style="482" customWidth="1"/>
    <col min="2" max="2" width="18.69921875" style="481" bestFit="1" customWidth="1"/>
    <col min="3" max="3" width="16.09765625" style="482" customWidth="1"/>
    <col min="4" max="4" width="16.296875" style="482" customWidth="1"/>
    <col min="5" max="5" width="15.59765625" style="482" hidden="1" customWidth="1"/>
    <col min="6" max="6" width="18.296875" style="482" hidden="1" customWidth="1"/>
    <col min="7" max="7" width="16.296875" style="482" hidden="1" customWidth="1"/>
    <col min="8" max="9" width="19.8984375" style="482" hidden="1" customWidth="1"/>
    <col min="10" max="10" width="16.296875" style="482" hidden="1" customWidth="1"/>
    <col min="11" max="11" width="21.59765625" style="482" hidden="1" customWidth="1"/>
    <col min="12" max="18" width="16.296875" style="482" hidden="1" customWidth="1"/>
    <col min="19" max="20" width="16.296875" style="482" customWidth="1"/>
    <col min="21" max="21" width="19.8984375" style="482" customWidth="1"/>
    <col min="22" max="22" width="16.296875" style="482" customWidth="1"/>
    <col min="23" max="23" width="21.59765625" style="482" customWidth="1"/>
    <col min="24" max="30" width="16.296875" style="482" customWidth="1"/>
    <col min="31" max="32" width="16.296875" style="482" hidden="1" customWidth="1"/>
    <col min="33" max="33" width="11.69921875" style="482" customWidth="1"/>
    <col min="34" max="34" width="37.8984375" style="482" bestFit="1" customWidth="1"/>
    <col min="35" max="35" width="14.3984375" style="525" bestFit="1" customWidth="1"/>
    <col min="36" max="36" width="4.69921875" style="482" bestFit="1" customWidth="1"/>
    <col min="37" max="37" width="5" style="482" bestFit="1" customWidth="1"/>
    <col min="38" max="38" width="18.296875" style="482" customWidth="1"/>
    <col min="39" max="39" width="17.09765625" style="482" bestFit="1" customWidth="1"/>
    <col min="40" max="40" width="0.3984375" style="482" customWidth="1"/>
    <col min="41" max="16384" width="9.09765625" style="482"/>
  </cols>
  <sheetData>
    <row r="1" spans="1:39">
      <c r="A1" s="480" t="s">
        <v>265</v>
      </c>
      <c r="AH1" s="480" t="s">
        <v>315</v>
      </c>
    </row>
    <row r="2" spans="1:39">
      <c r="A2" s="483" t="s">
        <v>266</v>
      </c>
    </row>
    <row r="3" spans="1:39" s="483" customFormat="1" ht="31.5" thickBot="1">
      <c r="A3" s="484">
        <v>191010</v>
      </c>
      <c r="B3" s="485" t="s">
        <v>256</v>
      </c>
      <c r="C3" s="486" t="s">
        <v>251</v>
      </c>
      <c r="D3" s="693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 t="shared" ref="AF3" si="1">AE3+1</f>
        <v>201512</v>
      </c>
      <c r="AI3" s="484"/>
    </row>
    <row r="4" spans="1:39" s="483" customFormat="1" ht="16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H4" s="544">
        <v>201510</v>
      </c>
      <c r="AI4" s="526"/>
      <c r="AJ4" s="514"/>
      <c r="AK4" s="514"/>
      <c r="AL4" s="514"/>
      <c r="AM4" s="515"/>
    </row>
    <row r="5" spans="1:39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-1154882.2995837759</v>
      </c>
      <c r="W5" s="482">
        <f t="shared" ref="W5:AD5" si="2">V13</f>
        <v>-1883329.5456927749</v>
      </c>
      <c r="X5" s="482">
        <f t="shared" si="2"/>
        <v>-872806.43822777225</v>
      </c>
      <c r="Y5" s="482">
        <f t="shared" si="2"/>
        <v>-2959310.535139773</v>
      </c>
      <c r="Z5" s="482">
        <f t="shared" si="2"/>
        <v>-3131335.1133777718</v>
      </c>
      <c r="AA5" s="482">
        <f t="shared" si="2"/>
        <v>-3303665.3888877728</v>
      </c>
      <c r="AB5" s="482">
        <f t="shared" si="2"/>
        <v>-3655951.1713057715</v>
      </c>
      <c r="AC5" s="482">
        <f t="shared" si="2"/>
        <v>-3747278.07094577</v>
      </c>
      <c r="AD5" s="482">
        <f t="shared" si="2"/>
        <v>-4948357.8050077725</v>
      </c>
      <c r="AE5" s="482">
        <f>AD13</f>
        <v>-6093381.4883727729</v>
      </c>
      <c r="AF5" s="482">
        <f t="shared" ref="AF5" si="3">AE13</f>
        <v>-7722519.1945627714</v>
      </c>
      <c r="AH5" s="497" t="s">
        <v>294</v>
      </c>
      <c r="AI5" s="527">
        <v>419600</v>
      </c>
      <c r="AJ5" s="498" t="s">
        <v>288</v>
      </c>
      <c r="AK5" s="498" t="s">
        <v>289</v>
      </c>
      <c r="AL5" s="519">
        <v>0</v>
      </c>
      <c r="AM5" s="520">
        <f>IF(SUMIF(U3:AF3,AH4,U8:AF8)&gt;0,SUMIF(U3:AF3,AH4,U8:AF8),0)</f>
        <v>0</v>
      </c>
    </row>
    <row r="6" spans="1:39">
      <c r="B6" s="481" t="s">
        <v>254</v>
      </c>
      <c r="C6" s="482">
        <f>SUM(U6:AF6)</f>
        <v>-10042423.246235993</v>
      </c>
      <c r="D6" s="482">
        <f>-2523837.34+SUM(E6:N6,E9:T9)</f>
        <v>4.5212078839540482E-3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f>Feb!$H$53</f>
        <v>0</v>
      </c>
      <c r="W6" s="482">
        <f>Mar!$H$53</f>
        <v>1135107.4385570027</v>
      </c>
      <c r="X6" s="482">
        <f>Apr!$H$53</f>
        <v>-2310603.7085020011</v>
      </c>
      <c r="Y6" s="482">
        <f>May!$H$53</f>
        <v>-1026688.9535339989</v>
      </c>
      <c r="Z6" s="482">
        <f>Jun!$H$53</f>
        <v>-1511176.335440001</v>
      </c>
      <c r="AA6" s="482">
        <f>Jul!$H$53</f>
        <v>-1483614.197077998</v>
      </c>
      <c r="AB6" s="482">
        <f>Aug!$H$53</f>
        <v>-1288286.6270379988</v>
      </c>
      <c r="AC6" s="482">
        <f>Sep!$H$53</f>
        <v>-2088616.5970920017</v>
      </c>
      <c r="AD6" s="482">
        <f>Oct!$H$55</f>
        <v>-1862270.5500129997</v>
      </c>
      <c r="AE6" s="482">
        <f>Nov!$H$55</f>
        <v>-294955.25549999811</v>
      </c>
      <c r="AF6" s="482">
        <f>Dec!$H$53</f>
        <v>0</v>
      </c>
      <c r="AH6" s="499" t="s">
        <v>295</v>
      </c>
      <c r="AI6" s="528">
        <v>431600</v>
      </c>
      <c r="AJ6" s="358" t="s">
        <v>288</v>
      </c>
      <c r="AK6" s="358" t="s">
        <v>289</v>
      </c>
      <c r="AL6" s="381">
        <f>IF(SUMIF(U3:AF3,AH4,U8:AF8)&lt;0,-SUMIF(U3:AF3,AH4,U8:AF8),0)</f>
        <v>14932.13</v>
      </c>
      <c r="AM6" s="500">
        <v>0</v>
      </c>
    </row>
    <row r="7" spans="1:39">
      <c r="B7" s="481" t="s">
        <v>255</v>
      </c>
      <c r="C7" s="482">
        <f t="shared" ref="C7:C12" si="4">SUM(U7:AF7)</f>
        <v>2652361.2041769996</v>
      </c>
      <c r="D7" s="482">
        <f>5059705.37+SUM(E7:N7,E10:T10)</f>
        <v>-2.4999678134918213E-4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f>Feb!$I$53</f>
        <v>-724338.56610899908</v>
      </c>
      <c r="W7" s="482">
        <f>Mar!$I$53</f>
        <v>-120857.11109200004</v>
      </c>
      <c r="X7" s="482">
        <f>Apr!$I$53</f>
        <v>229663.83159000031</v>
      </c>
      <c r="Y7" s="482">
        <f>May!$I$53</f>
        <v>862900.97529599979</v>
      </c>
      <c r="Z7" s="482">
        <f>Jun!$I$53</f>
        <v>1347548.3399299998</v>
      </c>
      <c r="AA7" s="482">
        <f>Jul!$I$53</f>
        <v>1140740.15466</v>
      </c>
      <c r="AB7" s="482">
        <f>Aug!$I$53</f>
        <v>1206971.3773980001</v>
      </c>
      <c r="AC7" s="482">
        <f>Sep!$I$53</f>
        <v>899296.28302999982</v>
      </c>
      <c r="AD7" s="482">
        <f>Oct!$I$55</f>
        <v>732178.99664799974</v>
      </c>
      <c r="AE7" s="563">
        <f>Nov!$I$55</f>
        <v>-1315498.7206899999</v>
      </c>
      <c r="AF7" s="482">
        <f>Dec!$I$53</f>
        <v>0</v>
      </c>
      <c r="AH7" s="499" t="s">
        <v>296</v>
      </c>
      <c r="AI7" s="528">
        <v>191010</v>
      </c>
      <c r="AJ7" s="358" t="s">
        <v>288</v>
      </c>
      <c r="AK7" s="358" t="s">
        <v>289</v>
      </c>
      <c r="AL7" s="381">
        <f>IF((SUMIF(U3:AF3,AH4,U6:AF6)+SUMIF(U3:AF3,AH4,U7:AF7)+SUMIF(U3:AF3,AH4,U8:AF8))&gt;0,(SUMIF(U3:AF3,AH4,U6:AF6)+SUMIF(U3:AF3,AH4,U7:AF7)+SUMIF(U3:AF3,AH4,U8:AF8)),0)</f>
        <v>0</v>
      </c>
      <c r="AM7" s="500">
        <f>IF((SUMIF(U3:AF3,AH4,U6:AF6)+SUMIF(U3:AF3,AH4,U7:AF7)+SUMIF(U3:AF3,AH4,U8:AF8))&lt;0,-(SUMIF(U3:AF3,AH4,U6:AF6)+SUMIF(U3:AF3,AH4,U7:AF7)++SUMIF(U3:AF3,AH4,U8:AF8)),0)</f>
        <v>1145023.6833649999</v>
      </c>
    </row>
    <row r="8" spans="1:39">
      <c r="B8" s="481" t="s">
        <v>258</v>
      </c>
      <c r="C8" s="482">
        <f t="shared" si="4"/>
        <v>-117362.70999999999</v>
      </c>
      <c r="D8" s="482">
        <f>-38846.64+SUM(E8:N8,E11:T11)</f>
        <v>5.9999999990395736E-2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5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f>ROUND(((V5)*(V4/12))+((SUM(V6:V7)/2)*(V4/12)),2)</f>
        <v>-4108.68</v>
      </c>
      <c r="W8" s="489">
        <f t="shared" ref="W8:AC8" si="6">ROUND(((W5)*(W4/12))+((SUM(W6:W7)/2)*(W4/12)),2)</f>
        <v>-3727.22</v>
      </c>
      <c r="X8" s="489">
        <f>ROUND(((X5+X12)*(X4/12))+((SUM(X6:X7)/2)*(X4/12)),2)</f>
        <v>-5182.82</v>
      </c>
      <c r="Y8" s="489">
        <f t="shared" si="6"/>
        <v>-8236.6</v>
      </c>
      <c r="Z8" s="489">
        <f t="shared" si="6"/>
        <v>-8702.2800000000007</v>
      </c>
      <c r="AA8" s="489">
        <f t="shared" si="6"/>
        <v>-9411.74</v>
      </c>
      <c r="AB8" s="489">
        <f t="shared" si="6"/>
        <v>-10011.65</v>
      </c>
      <c r="AC8" s="489">
        <f t="shared" si="6"/>
        <v>-11759.42</v>
      </c>
      <c r="AD8" s="489">
        <f>ROUND(((AD5)*(AD4/12))+((SUM(AD6:AD7)/2)*(AD4/12)),2)</f>
        <v>-14932.13</v>
      </c>
      <c r="AE8" s="560">
        <f>ROUND(((AE5+AE9+AE10+AE11)*(AE4/12))+((SUM(AE6:AE7)/2)*(AE4/12)),2)</f>
        <v>-18683.73</v>
      </c>
      <c r="AF8" s="489">
        <f>ROUND(((AF5)*(AF4/12))+((SUM(AF6:AF7)/2)*(AF4/12)),2)</f>
        <v>-20915.16</v>
      </c>
      <c r="AH8" s="499" t="s">
        <v>297</v>
      </c>
      <c r="AI8" s="528">
        <v>805120</v>
      </c>
      <c r="AJ8" s="358" t="s">
        <v>288</v>
      </c>
      <c r="AK8" s="358" t="s">
        <v>289</v>
      </c>
      <c r="AL8" s="381">
        <f>IF((SUMIF(U3:AF3,AH4,U6:AF6)+SUMIF(U3:AF3,AH4,U7:AF7))&lt;0,-(SUMIF(U3:AF3,AH4,U6:AF6)+SUMIF(U3:AF3,AH4,U7:AF7)),0)</f>
        <v>1130091.5533650001</v>
      </c>
      <c r="AM8" s="500">
        <f>IF((SUMIF(U3:AF3,AH4,U6:AF6)+SUMIF(U3:AF3,AH4,U7:AF7))&gt;0,(SUMIF(U3:AF3,AH4,U6:AF6)+SUMIF(U3:AF3,AH4,U7:AF7)),0)</f>
        <v>0</v>
      </c>
    </row>
    <row r="9" spans="1:39">
      <c r="B9" s="481" t="s">
        <v>262</v>
      </c>
      <c r="C9" s="482">
        <f t="shared" si="4"/>
        <v>-69937.37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63">
        <v>0</v>
      </c>
      <c r="AF9" s="482">
        <v>0</v>
      </c>
      <c r="AH9" s="499" t="s">
        <v>11</v>
      </c>
      <c r="AI9" s="528">
        <v>191010</v>
      </c>
      <c r="AJ9" s="358" t="s">
        <v>288</v>
      </c>
      <c r="AK9" s="358" t="s">
        <v>289</v>
      </c>
      <c r="AL9" s="381">
        <v>0</v>
      </c>
      <c r="AM9" s="500">
        <v>0</v>
      </c>
    </row>
    <row r="10" spans="1:39" ht="16" thickBot="1">
      <c r="B10" s="481" t="s">
        <v>263</v>
      </c>
      <c r="C10" s="482">
        <f t="shared" si="4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63">
        <v>0</v>
      </c>
      <c r="AF10" s="482">
        <v>0</v>
      </c>
      <c r="AH10" s="501" t="str">
        <f>AH9</f>
        <v>Tracker Transfer</v>
      </c>
      <c r="AI10" s="529">
        <f>AI43</f>
        <v>191000</v>
      </c>
      <c r="AJ10" s="529" t="str">
        <f>AJ43</f>
        <v>GD</v>
      </c>
      <c r="AK10" s="529" t="str">
        <f>AK43</f>
        <v>WA</v>
      </c>
      <c r="AL10" s="503">
        <v>0</v>
      </c>
      <c r="AM10" s="521">
        <f>AL9</f>
        <v>0</v>
      </c>
    </row>
    <row r="11" spans="1:39" ht="16" thickBot="1">
      <c r="B11" s="481" t="s">
        <v>264</v>
      </c>
      <c r="C11" s="482">
        <f t="shared" si="4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63">
        <v>0</v>
      </c>
      <c r="AF11" s="482">
        <v>0</v>
      </c>
      <c r="AH11" s="516"/>
      <c r="AI11" s="530"/>
      <c r="AJ11" s="517"/>
      <c r="AK11" s="517"/>
      <c r="AL11" s="517" t="s">
        <v>159</v>
      </c>
      <c r="AM11" s="518">
        <f>SUM(AL5:AL10)-SUM(AM5:AM10)</f>
        <v>0</v>
      </c>
    </row>
    <row r="12" spans="1:39">
      <c r="B12" s="481" t="s">
        <v>148</v>
      </c>
      <c r="C12" s="482">
        <f t="shared" si="4"/>
        <v>-381.4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</row>
    <row r="13" spans="1:39" ht="16" thickBot="1">
      <c r="B13" s="481" t="s">
        <v>56</v>
      </c>
      <c r="C13" s="541">
        <f>SUM(C5:C12)</f>
        <v>-7577743.5220589936</v>
      </c>
      <c r="D13" s="541"/>
      <c r="E13" s="541">
        <f>SUM(E5:E12)</f>
        <v>2712780.2600000002</v>
      </c>
      <c r="F13" s="541">
        <f t="shared" ref="F13:H13" si="7">SUM(F5:F12)</f>
        <v>2255013.9900000002</v>
      </c>
      <c r="G13" s="541">
        <f>SUM(G5:G12)</f>
        <v>-33498.738666789999</v>
      </c>
      <c r="H13" s="541">
        <f t="shared" si="7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8">SUM(V5:V12)</f>
        <v>-1883329.5456927749</v>
      </c>
      <c r="W13" s="541">
        <f t="shared" si="8"/>
        <v>-872806.43822777225</v>
      </c>
      <c r="X13" s="541">
        <f t="shared" si="8"/>
        <v>-2959310.535139773</v>
      </c>
      <c r="Y13" s="541">
        <f>SUM(Y5:Y12)</f>
        <v>-3131335.1133777718</v>
      </c>
      <c r="Z13" s="541">
        <f t="shared" ref="Z13:AF13" si="9">SUM(Z5:Z12)</f>
        <v>-3303665.3888877728</v>
      </c>
      <c r="AA13" s="541">
        <f t="shared" si="9"/>
        <v>-3655951.1713057715</v>
      </c>
      <c r="AB13" s="541">
        <f t="shared" si="9"/>
        <v>-3747278.07094577</v>
      </c>
      <c r="AC13" s="541">
        <f t="shared" si="9"/>
        <v>-4948357.8050077725</v>
      </c>
      <c r="AD13" s="541">
        <f t="shared" si="9"/>
        <v>-6093381.4883727729</v>
      </c>
      <c r="AE13" s="541">
        <f t="shared" si="9"/>
        <v>-7722519.1945627714</v>
      </c>
      <c r="AF13" s="541">
        <f t="shared" si="9"/>
        <v>-7743434.3545627715</v>
      </c>
    </row>
    <row r="14" spans="1:39" ht="16" thickTop="1">
      <c r="B14" s="481" t="s">
        <v>260</v>
      </c>
      <c r="E14" s="482" t="e">
        <f ca="1">_xll.Get_Balance(E3,"YTD","USD","Total","A","","001",$A$3,"GD","WA","DL")</f>
        <v>#NAME?</v>
      </c>
      <c r="F14" s="482" t="e">
        <f ca="1">_xll.Get_Balance(F3,"YTD","USD","Total","A","","001",$A$3,"GD","WA","DL")</f>
        <v>#NAME?</v>
      </c>
      <c r="G14" s="482" t="e">
        <f ca="1">_xll.Get_Balance(G3,"YTD","USD","Total","A","","001",$A$3,"GD","WA","DL")</f>
        <v>#NAME?</v>
      </c>
      <c r="H14" s="482" t="e">
        <f ca="1">_xll.Get_Balance(H3,"YTD","USD","Total","A","","001",$A$3,"GD","WA","DL")</f>
        <v>#NAME?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 t="e">
        <f ca="1">_xll.Get_Balance(V3,"YTD","USD","Total","A","","001",$A$3,"GD","WA","DL")</f>
        <v>#NAME?</v>
      </c>
      <c r="W14" s="482" t="e">
        <f ca="1">_xll.Get_Balance(W3,"YTD","USD","Total","A","","001",$A$3,"GD","WA","DL")</f>
        <v>#NAME?</v>
      </c>
      <c r="X14" s="482" t="e">
        <f ca="1">_xll.Get_Balance(X3,"YTD","USD","Total","A","","001",$A$3,"GD","WA","DL")</f>
        <v>#NAME?</v>
      </c>
      <c r="Y14" s="482" t="e">
        <f ca="1">_xll.Get_Balance(Y3,"YTD","USD","Total","A","","001",$A$3,"GD","WA","DL")</f>
        <v>#NAME?</v>
      </c>
      <c r="Z14" s="482" t="e">
        <f ca="1">_xll.Get_Balance(Z3,"YTD","USD","Total","A","","001",$A$3,"GD","WA","DL")</f>
        <v>#NAME?</v>
      </c>
      <c r="AA14" s="482" t="e">
        <f ca="1">_xll.Get_Balance(AA3,"YTD","USD","Total","A","","001",$A$3,"GD","WA","DL")</f>
        <v>#NAME?</v>
      </c>
      <c r="AB14" s="482" t="e">
        <f ca="1">_xll.Get_Balance(AB3,"YTD","USD","Total","A","","001",$A$3,"GD","WA","DL")</f>
        <v>#NAME?</v>
      </c>
      <c r="AC14" s="482" t="e">
        <f ca="1">_xll.Get_Balance(AC3,"YTD","USD","Total","A","","001",$A$3,"GD","WA","DL")</f>
        <v>#NAME?</v>
      </c>
      <c r="AD14" s="482" t="e">
        <f ca="1">_xll.Get_Balance(AD3,"YTD","USD","Total","A","","001",$A$3,"GD","WA","DL")</f>
        <v>#NAME?</v>
      </c>
      <c r="AE14" s="482" t="e">
        <f ca="1">_xll.Get_Balance(AE3,"YTD","USD","Total","A","","001",$A$3,"GD","WA","DL")</f>
        <v>#NAME?</v>
      </c>
      <c r="AF14" s="482" t="e">
        <f ca="1">_xll.Get_Balance(AF3,"YTD","USD","Total","A","","001",$A$3,"GD","WA","DL")</f>
        <v>#NAME?</v>
      </c>
    </row>
    <row r="15" spans="1:39">
      <c r="B15" s="481" t="s">
        <v>245</v>
      </c>
      <c r="E15" s="482" t="e">
        <f t="shared" ref="E15:H15" ca="1" si="10">E13-E14</f>
        <v>#NAME?</v>
      </c>
      <c r="F15" s="482" t="e">
        <f t="shared" ca="1" si="10"/>
        <v>#NAME?</v>
      </c>
      <c r="G15" s="482" t="e">
        <f t="shared" ca="1" si="10"/>
        <v>#NAME?</v>
      </c>
      <c r="H15" s="482" t="e">
        <f t="shared" ca="1" si="10"/>
        <v>#NAME?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 t="e">
        <f t="shared" ref="V15:AF15" ca="1" si="11">V13-V14</f>
        <v>#NAME?</v>
      </c>
      <c r="W15" s="482" t="e">
        <f t="shared" ca="1" si="11"/>
        <v>#NAME?</v>
      </c>
      <c r="X15" s="482" t="e">
        <f t="shared" ca="1" si="11"/>
        <v>#NAME?</v>
      </c>
      <c r="Y15" s="482" t="e">
        <f t="shared" ca="1" si="11"/>
        <v>#NAME?</v>
      </c>
      <c r="Z15" s="482" t="e">
        <f t="shared" ca="1" si="11"/>
        <v>#NAME?</v>
      </c>
      <c r="AA15" s="482" t="e">
        <f t="shared" ca="1" si="11"/>
        <v>#NAME?</v>
      </c>
      <c r="AB15" s="482" t="e">
        <f t="shared" ca="1" si="11"/>
        <v>#NAME?</v>
      </c>
      <c r="AC15" s="482" t="e">
        <f t="shared" ca="1" si="11"/>
        <v>#NAME?</v>
      </c>
      <c r="AD15" s="482" t="e">
        <f t="shared" ca="1" si="11"/>
        <v>#NAME?</v>
      </c>
      <c r="AE15" s="482" t="e">
        <f t="shared" ca="1" si="11"/>
        <v>#NAME?</v>
      </c>
      <c r="AF15" s="482" t="e">
        <f t="shared" ca="1" si="11"/>
        <v>#NAME?</v>
      </c>
    </row>
    <row r="16" spans="1:39">
      <c r="A16" s="483" t="s">
        <v>268</v>
      </c>
    </row>
    <row r="17" spans="1:33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</row>
    <row r="18" spans="1:33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</row>
    <row r="19" spans="1:33">
      <c r="A19" s="483"/>
      <c r="B19" s="481" t="s">
        <v>37</v>
      </c>
      <c r="C19" s="491">
        <f>SUM(U19:AF19)</f>
        <v>83964548</v>
      </c>
      <c r="D19" s="491">
        <f t="shared" ref="D19:D29" si="14">SUM(G19:R19)</f>
        <v>118507804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f>Feb!$G23</f>
        <v>13011547</v>
      </c>
      <c r="W19" s="543">
        <f>Mar!$G23</f>
        <v>10479005</v>
      </c>
      <c r="X19" s="543">
        <f>Apr!$G23</f>
        <v>7714478</v>
      </c>
      <c r="Y19" s="543">
        <f>May!$G23</f>
        <v>3297360</v>
      </c>
      <c r="Z19" s="543">
        <f>Jun!$G23</f>
        <v>1968489</v>
      </c>
      <c r="AA19" s="543">
        <f>Jul!$G23</f>
        <v>2145139</v>
      </c>
      <c r="AB19" s="543">
        <f>Aug!$G23</f>
        <v>1956853</v>
      </c>
      <c r="AC19" s="543">
        <f>Sep!$G23</f>
        <v>3273457</v>
      </c>
      <c r="AD19" s="543">
        <f>Oct!$G23</f>
        <v>4833518</v>
      </c>
      <c r="AE19" s="543">
        <f>Nov!$G23</f>
        <v>15375028</v>
      </c>
      <c r="AF19" s="543">
        <f>Dec!$G23</f>
        <v>0</v>
      </c>
    </row>
    <row r="20" spans="1:33">
      <c r="A20" s="483"/>
      <c r="B20" s="692" t="s">
        <v>351</v>
      </c>
      <c r="C20" s="491"/>
      <c r="D20" s="491"/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f>Oct!$G24</f>
        <v>425</v>
      </c>
      <c r="AE20" s="543"/>
      <c r="AF20" s="543"/>
    </row>
    <row r="21" spans="1:33">
      <c r="A21" s="483"/>
      <c r="B21" s="481" t="s">
        <v>38</v>
      </c>
      <c r="C21" s="491">
        <f t="shared" ref="C21:C28" si="15">SUM(U21:AF21)</f>
        <v>35336899</v>
      </c>
      <c r="D21" s="491">
        <f t="shared" si="14"/>
        <v>47081391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f>Feb!$G24</f>
        <v>5630395</v>
      </c>
      <c r="W21" s="543">
        <f>Mar!$G24</f>
        <v>4030672</v>
      </c>
      <c r="X21" s="543">
        <f>Apr!$G24</f>
        <v>3448422</v>
      </c>
      <c r="Y21" s="543">
        <f>May!$G24</f>
        <v>1901440</v>
      </c>
      <c r="Z21" s="543">
        <f>Jun!$G24</f>
        <v>1561904</v>
      </c>
      <c r="AA21" s="543">
        <f>Jul!$G24</f>
        <v>1323231</v>
      </c>
      <c r="AB21" s="543">
        <f>Aug!$G24</f>
        <v>1284422</v>
      </c>
      <c r="AC21" s="543">
        <f>Sep!$G24</f>
        <v>1854848</v>
      </c>
      <c r="AD21" s="543">
        <f>Oct!$G25</f>
        <v>2624293</v>
      </c>
      <c r="AE21" s="543">
        <f>Nov!$G25</f>
        <v>5503520</v>
      </c>
      <c r="AF21" s="543">
        <f>Dec!$G24</f>
        <v>0</v>
      </c>
    </row>
    <row r="22" spans="1:33" hidden="1">
      <c r="A22" s="483"/>
      <c r="B22" s="481" t="s">
        <v>39</v>
      </c>
      <c r="C22" s="491">
        <f t="shared" si="15"/>
        <v>0</v>
      </c>
      <c r="D22" s="491">
        <f t="shared" si="14"/>
        <v>0</v>
      </c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</row>
    <row r="23" spans="1:33">
      <c r="A23" s="483"/>
      <c r="B23" s="481" t="s">
        <v>40</v>
      </c>
      <c r="C23" s="491">
        <f t="shared" si="15"/>
        <v>4051936</v>
      </c>
      <c r="D23" s="491">
        <f t="shared" si="14"/>
        <v>4993299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f>Feb!$G26</f>
        <v>431734</v>
      </c>
      <c r="W23" s="543">
        <f>Mar!$G26</f>
        <v>335852</v>
      </c>
      <c r="X23" s="543">
        <f>Apr!$G26</f>
        <v>432834</v>
      </c>
      <c r="Y23" s="543">
        <f>May!$G26</f>
        <v>249954</v>
      </c>
      <c r="Z23" s="543">
        <f>Jun!$G26</f>
        <v>322862</v>
      </c>
      <c r="AA23" s="543">
        <f>Jul!$G26</f>
        <v>247078</v>
      </c>
      <c r="AB23" s="543">
        <f>Aug!$G26</f>
        <v>274690</v>
      </c>
      <c r="AC23" s="543">
        <f>Sep!$G26</f>
        <v>336073</v>
      </c>
      <c r="AD23" s="543">
        <f>Oct!$G27</f>
        <v>365802</v>
      </c>
      <c r="AE23" s="543">
        <f>Nov!$G27</f>
        <v>541377</v>
      </c>
      <c r="AF23" s="543">
        <f>Dec!$G26</f>
        <v>0</v>
      </c>
    </row>
    <row r="24" spans="1:33" hidden="1">
      <c r="A24" s="483"/>
      <c r="B24" s="481" t="s">
        <v>41</v>
      </c>
      <c r="C24" s="491">
        <f t="shared" si="15"/>
        <v>0</v>
      </c>
      <c r="D24" s="491">
        <f t="shared" si="14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</row>
    <row r="25" spans="1:33">
      <c r="A25" s="483"/>
      <c r="B25" s="481" t="s">
        <v>42</v>
      </c>
      <c r="C25" s="491">
        <f t="shared" si="15"/>
        <v>0</v>
      </c>
      <c r="D25" s="491">
        <f t="shared" si="14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f>Feb!$G28</f>
        <v>0</v>
      </c>
      <c r="W25" s="543">
        <f>Mar!$G28</f>
        <v>0</v>
      </c>
      <c r="X25" s="543">
        <f>Apr!$G28</f>
        <v>0</v>
      </c>
      <c r="Y25" s="543">
        <f>May!$G28</f>
        <v>0</v>
      </c>
      <c r="Z25" s="543">
        <f>Jun!$G28</f>
        <v>0</v>
      </c>
      <c r="AA25" s="543">
        <f>Jul!$G28</f>
        <v>0</v>
      </c>
      <c r="AB25" s="543">
        <f>Aug!$G28</f>
        <v>0</v>
      </c>
      <c r="AC25" s="543">
        <f>Sep!$G28</f>
        <v>0</v>
      </c>
      <c r="AD25" s="543">
        <f>Oct!$G29</f>
        <v>0</v>
      </c>
      <c r="AE25" s="543">
        <f>Nov!$G29</f>
        <v>0</v>
      </c>
      <c r="AF25" s="543">
        <f>Dec!$G28</f>
        <v>0</v>
      </c>
    </row>
    <row r="26" spans="1:33" hidden="1">
      <c r="A26" s="483"/>
      <c r="B26" s="481" t="s">
        <v>43</v>
      </c>
      <c r="C26" s="491">
        <f t="shared" si="15"/>
        <v>0</v>
      </c>
      <c r="D26" s="491">
        <f t="shared" si="14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</row>
    <row r="27" spans="1:33">
      <c r="A27" s="483"/>
      <c r="B27" s="481" t="s">
        <v>74</v>
      </c>
      <c r="C27" s="491">
        <f t="shared" si="15"/>
        <v>26235211</v>
      </c>
      <c r="D27" s="491">
        <f t="shared" si="14"/>
        <v>30501971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f>Feb!$G30</f>
        <v>2735718</v>
      </c>
      <c r="W27" s="543">
        <f>Mar!$G30</f>
        <v>2608561</v>
      </c>
      <c r="X27" s="543">
        <f>Apr!$G30</f>
        <v>2436951</v>
      </c>
      <c r="Y27" s="543">
        <f>May!$G30</f>
        <v>2203136</v>
      </c>
      <c r="Z27" s="543">
        <f>Jun!$G30</f>
        <v>1941783</v>
      </c>
      <c r="AA27" s="543">
        <f>Jul!$G30</f>
        <v>1912819</v>
      </c>
      <c r="AB27" s="543">
        <f>Aug!$G30</f>
        <v>1943542</v>
      </c>
      <c r="AC27" s="543">
        <f>Sep!$G30</f>
        <v>1945064</v>
      </c>
      <c r="AD27" s="543">
        <f>Oct!$G31</f>
        <v>2201297</v>
      </c>
      <c r="AE27" s="543">
        <f>Nov!$G31</f>
        <v>3020174</v>
      </c>
      <c r="AF27" s="543">
        <f>Dec!$G30</f>
        <v>0</v>
      </c>
    </row>
    <row r="28" spans="1:33" ht="16" thickBot="1">
      <c r="A28" s="483"/>
      <c r="B28" s="481" t="s">
        <v>21</v>
      </c>
      <c r="C28" s="491">
        <f t="shared" si="15"/>
        <v>149589019</v>
      </c>
      <c r="D28" s="542">
        <f t="shared" si="14"/>
        <v>201084465</v>
      </c>
      <c r="E28" s="542">
        <f>SUM(E19:E27)</f>
        <v>6409834</v>
      </c>
      <c r="F28" s="542">
        <f>SUM(F19:F27)</f>
        <v>16252041</v>
      </c>
      <c r="G28" s="542">
        <f t="shared" ref="G28:H28" si="16">SUM(G19:G27)</f>
        <v>24054373</v>
      </c>
      <c r="H28" s="542">
        <f t="shared" si="16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F28" si="17">SUM(V19:V27)</f>
        <v>21809394</v>
      </c>
      <c r="W28" s="542">
        <f t="shared" si="17"/>
        <v>17454090</v>
      </c>
      <c r="X28" s="542">
        <f t="shared" si="17"/>
        <v>14032685</v>
      </c>
      <c r="Y28" s="542">
        <f t="shared" si="17"/>
        <v>7651890</v>
      </c>
      <c r="Z28" s="542">
        <f t="shared" si="17"/>
        <v>5795038</v>
      </c>
      <c r="AA28" s="542">
        <f t="shared" si="17"/>
        <v>5628267</v>
      </c>
      <c r="AB28" s="542">
        <f t="shared" si="17"/>
        <v>5459507</v>
      </c>
      <c r="AC28" s="542">
        <f t="shared" si="17"/>
        <v>7409442</v>
      </c>
      <c r="AD28" s="542">
        <f t="shared" si="17"/>
        <v>10025335</v>
      </c>
      <c r="AE28" s="542">
        <f t="shared" si="17"/>
        <v>24440099</v>
      </c>
      <c r="AF28" s="542">
        <f t="shared" si="17"/>
        <v>0</v>
      </c>
    </row>
    <row r="29" spans="1:33" ht="16" thickTop="1">
      <c r="A29" s="483"/>
      <c r="B29" s="481" t="s">
        <v>269</v>
      </c>
      <c r="C29" s="491">
        <f>SUM(U29:AF29)</f>
        <v>125148920</v>
      </c>
      <c r="D29" s="491">
        <f t="shared" si="14"/>
        <v>201084465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691">
        <v>5459507</v>
      </c>
      <c r="AC29" s="491">
        <v>7409442</v>
      </c>
      <c r="AD29" s="491">
        <v>10025335</v>
      </c>
      <c r="AE29" s="491"/>
      <c r="AF29" s="491"/>
      <c r="AG29" s="491"/>
    </row>
    <row r="30" spans="1:33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</row>
    <row r="31" spans="1:33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:AD31" si="18">U31+1</f>
        <v>201502</v>
      </c>
      <c r="W31" s="484">
        <f t="shared" si="18"/>
        <v>201503</v>
      </c>
      <c r="X31" s="484">
        <f t="shared" si="18"/>
        <v>201504</v>
      </c>
      <c r="Y31" s="484">
        <f t="shared" si="18"/>
        <v>201505</v>
      </c>
      <c r="Z31" s="484">
        <f t="shared" si="18"/>
        <v>201506</v>
      </c>
      <c r="AA31" s="484">
        <f t="shared" si="18"/>
        <v>201507</v>
      </c>
      <c r="AB31" s="484">
        <f t="shared" si="18"/>
        <v>201508</v>
      </c>
      <c r="AC31" s="484">
        <f t="shared" si="18"/>
        <v>201509</v>
      </c>
      <c r="AD31" s="484">
        <f t="shared" si="18"/>
        <v>201510</v>
      </c>
      <c r="AE31" s="484">
        <f>AD31+1</f>
        <v>201511</v>
      </c>
      <c r="AF31" s="484">
        <f t="shared" ref="AF31" si="19">AE31+1</f>
        <v>201512</v>
      </c>
    </row>
    <row r="32" spans="1:33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270</v>
      </c>
      <c r="AF32" s="496" t="s">
        <v>270</v>
      </c>
    </row>
    <row r="33" spans="1:39">
      <c r="A33" s="483"/>
      <c r="B33" s="692" t="s">
        <v>352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696">
        <v>1.436E-2</v>
      </c>
      <c r="AE33" s="496"/>
      <c r="AF33" s="496"/>
    </row>
    <row r="34" spans="1:39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270</v>
      </c>
      <c r="AF34" s="496" t="s">
        <v>270</v>
      </c>
    </row>
    <row r="35" spans="1:39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</row>
    <row r="36" spans="1:39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270</v>
      </c>
      <c r="AF36" s="496" t="s">
        <v>270</v>
      </c>
    </row>
    <row r="37" spans="1:39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</row>
    <row r="38" spans="1:39" ht="16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270</v>
      </c>
      <c r="AF38" s="496" t="s">
        <v>270</v>
      </c>
    </row>
    <row r="39" spans="1:39" ht="16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 t="s">
        <v>270</v>
      </c>
      <c r="AH39" s="483"/>
      <c r="AI39" s="484"/>
      <c r="AJ39" s="483"/>
      <c r="AK39" s="483"/>
      <c r="AL39" s="483"/>
      <c r="AM39" s="483"/>
    </row>
    <row r="40" spans="1:39" ht="16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270</v>
      </c>
      <c r="AF40" s="496" t="s">
        <v>270</v>
      </c>
      <c r="AH40" s="513">
        <f>AH4</f>
        <v>201510</v>
      </c>
      <c r="AI40" s="526"/>
      <c r="AJ40" s="514"/>
      <c r="AK40" s="514"/>
      <c r="AL40" s="514"/>
      <c r="AM40" s="515"/>
    </row>
    <row r="41" spans="1:39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H41" s="497" t="s">
        <v>298</v>
      </c>
      <c r="AI41" s="527">
        <v>419600</v>
      </c>
      <c r="AJ41" s="498" t="s">
        <v>288</v>
      </c>
      <c r="AK41" s="498" t="s">
        <v>289</v>
      </c>
      <c r="AL41" s="519">
        <v>0</v>
      </c>
      <c r="AM41" s="520">
        <f>IF(SUMIF(E42:AF42,AH40,E46:AF46)&gt;0,SUMIF(E42:AF42,AH40,E46:AF46),0)</f>
        <v>0</v>
      </c>
    </row>
    <row r="42" spans="1:39" s="483" customFormat="1">
      <c r="A42" s="484">
        <v>191000</v>
      </c>
      <c r="B42" s="485" t="s">
        <v>256</v>
      </c>
      <c r="C42" s="486" t="s">
        <v>251</v>
      </c>
      <c r="D42" s="693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:AD42" si="20">U42+1</f>
        <v>201502</v>
      </c>
      <c r="W42" s="484">
        <f t="shared" si="20"/>
        <v>201503</v>
      </c>
      <c r="X42" s="484">
        <f t="shared" si="20"/>
        <v>201504</v>
      </c>
      <c r="Y42" s="484">
        <f t="shared" si="20"/>
        <v>201505</v>
      </c>
      <c r="Z42" s="484">
        <f t="shared" si="20"/>
        <v>201506</v>
      </c>
      <c r="AA42" s="484">
        <f t="shared" si="20"/>
        <v>201507</v>
      </c>
      <c r="AB42" s="484">
        <f t="shared" si="20"/>
        <v>201508</v>
      </c>
      <c r="AC42" s="484">
        <f t="shared" si="20"/>
        <v>201509</v>
      </c>
      <c r="AD42" s="484">
        <f t="shared" si="20"/>
        <v>201510</v>
      </c>
      <c r="AE42" s="484">
        <f>AD42+1</f>
        <v>201511</v>
      </c>
      <c r="AF42" s="484">
        <f t="shared" ref="AF42" si="21">AE42+1</f>
        <v>201512</v>
      </c>
      <c r="AH42" s="499" t="s">
        <v>299</v>
      </c>
      <c r="AI42" s="528">
        <v>431600</v>
      </c>
      <c r="AJ42" s="358" t="s">
        <v>288</v>
      </c>
      <c r="AK42" s="358" t="s">
        <v>289</v>
      </c>
      <c r="AL42" s="381">
        <f>IF(SUMIF(E42:AF42,AH40,E46:AF46)&lt;0,-SUMIF(E42:AF42,AH40,E46:AF46),0)</f>
        <v>1090.4902838542487</v>
      </c>
      <c r="AM42" s="500">
        <v>0</v>
      </c>
    </row>
    <row r="43" spans="1:39" s="483" customFormat="1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H43" s="499" t="s">
        <v>300</v>
      </c>
      <c r="AI43" s="528">
        <v>191000</v>
      </c>
      <c r="AJ43" s="358" t="s">
        <v>288</v>
      </c>
      <c r="AK43" s="358" t="s">
        <v>289</v>
      </c>
      <c r="AL43" s="381">
        <f>IF((SUMIF(E42:AF42,AH40,E45:AF45)+SUMIF(E42:AF42,AH40,E46:AF46))&gt;0,(SUMIF(E42:AF42,AH40,E45:AF45)+SUMIF(E42:AF42,AH40,E46:AF46)),0)</f>
        <v>85739.509916145762</v>
      </c>
      <c r="AM43" s="500">
        <f>IF((SUMIF(E42:AF42,AH40,E45:AF45)+SUMIF(E42:AF42,AH40,E46:AF46))&lt;0,-(SUMIF(E42:AF42,AH40,E45:AF45)+SUMIF(E42:AF42,AH40,E46:AF46)),0)</f>
        <v>0</v>
      </c>
    </row>
    <row r="44" spans="1:39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f>U49</f>
        <v>-1203520.6941716045</v>
      </c>
      <c r="W44" s="482">
        <f t="shared" ref="W44:AD44" si="22">V49</f>
        <v>-978605.01769356499</v>
      </c>
      <c r="X44" s="482">
        <f t="shared" si="22"/>
        <v>-801445.32791263924</v>
      </c>
      <c r="Y44" s="482">
        <f t="shared" si="22"/>
        <v>-669275.24177190254</v>
      </c>
      <c r="Z44" s="482">
        <f t="shared" si="22"/>
        <v>-610882.24266902648</v>
      </c>
      <c r="AA44" s="482">
        <f t="shared" si="22"/>
        <v>-574943.04011245095</v>
      </c>
      <c r="AB44" s="482">
        <f t="shared" si="22"/>
        <v>-537511.27700320142</v>
      </c>
      <c r="AC44" s="482">
        <f t="shared" si="22"/>
        <v>-503286.03358886426</v>
      </c>
      <c r="AD44" s="482">
        <f t="shared" si="22"/>
        <v>-446057.56644618412</v>
      </c>
      <c r="AE44" s="482">
        <f>AD49</f>
        <v>-360318.05653003836</v>
      </c>
      <c r="AF44" s="482">
        <f t="shared" ref="AF44" si="23">AE49</f>
        <v>-361293.91793314053</v>
      </c>
      <c r="AH44" s="499" t="s">
        <v>301</v>
      </c>
      <c r="AI44" s="528">
        <v>805110</v>
      </c>
      <c r="AJ44" s="358" t="s">
        <v>288</v>
      </c>
      <c r="AK44" s="358" t="s">
        <v>289</v>
      </c>
      <c r="AL44" s="381">
        <f>IF((SUMIF(E42:AF42,AH40,E45:AF45))&lt;0,-(SUMIF(E42:AF42,AH40,E45:AF45)),0)</f>
        <v>0</v>
      </c>
      <c r="AM44" s="500">
        <f>IF((SUMIF(E42:AF42,AH40,E45:AF45))&gt;0,(SUMIF(E42:AF42,AH40,E45:AF45)),0)</f>
        <v>86830.000200000009</v>
      </c>
    </row>
    <row r="45" spans="1:39">
      <c r="B45" s="481" t="s">
        <v>23</v>
      </c>
      <c r="C45" s="482">
        <f>SUM(U45:AF45)</f>
        <v>1189635.9212799999</v>
      </c>
      <c r="D45" s="494">
        <f>SUM(G45:R45)</f>
        <v>-672918.74727999989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f>SUMPRODUCT(V19:V27,V32:V40)</f>
        <v>227866.64228000003</v>
      </c>
      <c r="W45" s="482">
        <f t="shared" ref="W45:X45" si="24">SUMPRODUCT(W19:W27,W32:W40)</f>
        <v>179566.91484000001</v>
      </c>
      <c r="X45" s="482">
        <f t="shared" si="24"/>
        <v>134158.99359999999</v>
      </c>
      <c r="Y45" s="482">
        <f>SUMPRODUCT(Y19:Y27,Y32:Y40)</f>
        <v>60124.201359999999</v>
      </c>
      <c r="Z45" s="482">
        <f t="shared" ref="Z45:AD45" si="25">SUMPRODUCT(Z19:Z27,Z32:Z40)</f>
        <v>37542.836040000002</v>
      </c>
      <c r="AA45" s="482">
        <f t="shared" si="25"/>
        <v>38936.174440000003</v>
      </c>
      <c r="AB45" s="482">
        <f t="shared" si="25"/>
        <v>35632.750439999996</v>
      </c>
      <c r="AC45" s="482">
        <f t="shared" si="25"/>
        <v>58512.29808</v>
      </c>
      <c r="AD45" s="482">
        <f t="shared" si="25"/>
        <v>86830.000200000009</v>
      </c>
      <c r="AE45" s="563"/>
      <c r="AF45" s="563"/>
      <c r="AH45" s="153" t="s">
        <v>156</v>
      </c>
      <c r="AI45" s="209">
        <f>AI43</f>
        <v>191000</v>
      </c>
      <c r="AJ45" s="209" t="str">
        <f t="shared" ref="AJ45:AK46" si="26">AJ43</f>
        <v>GD</v>
      </c>
      <c r="AK45" s="209" t="str">
        <f t="shared" si="26"/>
        <v>WA</v>
      </c>
      <c r="AL45" s="472">
        <v>0</v>
      </c>
      <c r="AM45" s="462">
        <v>0</v>
      </c>
    </row>
    <row r="46" spans="1:39" ht="16" thickBot="1">
      <c r="B46" s="481" t="s">
        <v>4</v>
      </c>
      <c r="C46" s="482">
        <f t="shared" ref="C46:C48" si="27">SUM(U46:AF46)</f>
        <v>-21619.566670261527</v>
      </c>
      <c r="D46" s="494">
        <f>SUM(G46:R46)</f>
        <v>36498.65781942301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f t="shared" ref="V46:AD46" si="28">((V44*(V43/12))+((V45/2)*(V43/12)))</f>
        <v>-2950.9658019605959</v>
      </c>
      <c r="W46" s="489">
        <f>((W44*(W43/12))+((W45/2)*(W43/12)))</f>
        <v>-2407.2250590742387</v>
      </c>
      <c r="X46" s="489">
        <f t="shared" si="28"/>
        <v>-1988.9074592633983</v>
      </c>
      <c r="Y46" s="489">
        <f t="shared" si="28"/>
        <v>-1731.2022571239027</v>
      </c>
      <c r="Z46" s="489">
        <f t="shared" si="28"/>
        <v>-1603.6334834244467</v>
      </c>
      <c r="AA46" s="489">
        <f t="shared" si="28"/>
        <v>-1504.4113307503878</v>
      </c>
      <c r="AB46" s="489">
        <f t="shared" si="28"/>
        <v>-1407.5070256628373</v>
      </c>
      <c r="AC46" s="489">
        <f t="shared" si="28"/>
        <v>-1283.8309373198406</v>
      </c>
      <c r="AD46" s="489">
        <f t="shared" si="28"/>
        <v>-1090.4902838542487</v>
      </c>
      <c r="AE46" s="560">
        <f>((AE44+AE47)*(AE43/12))+(((AE45+AE48)/2)*(AE43/12))</f>
        <v>-975.8614031021873</v>
      </c>
      <c r="AF46" s="560">
        <f>((AF44+AF47)*(AF43/12))+(((AF45+AF48)/2)*(AF43/12))</f>
        <v>-978.50436106892232</v>
      </c>
      <c r="AH46" s="154" t="str">
        <f>AH45</f>
        <v>Large Customer Refund</v>
      </c>
      <c r="AI46" s="561">
        <f>AI44</f>
        <v>805110</v>
      </c>
      <c r="AJ46" s="561" t="str">
        <f t="shared" si="26"/>
        <v>GD</v>
      </c>
      <c r="AK46" s="561" t="str">
        <f t="shared" si="26"/>
        <v>WA</v>
      </c>
      <c r="AL46" s="464">
        <f>AM45</f>
        <v>0</v>
      </c>
      <c r="AM46" s="473">
        <f>AL45</f>
        <v>0</v>
      </c>
    </row>
    <row r="47" spans="1:39" ht="16" thickBot="1">
      <c r="B47" s="481" t="s">
        <v>259</v>
      </c>
      <c r="C47" s="482">
        <f t="shared" si="27"/>
        <v>0</v>
      </c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63">
        <f>-AE11-AE10-AE9</f>
        <v>0</v>
      </c>
      <c r="AF47" s="563">
        <v>0</v>
      </c>
      <c r="AH47" s="516"/>
      <c r="AI47" s="530"/>
      <c r="AJ47" s="517"/>
      <c r="AK47" s="517"/>
      <c r="AL47" s="517" t="s">
        <v>159</v>
      </c>
      <c r="AM47" s="518">
        <f>SUM(AL41:AL46)-SUM(AM41:AM46)</f>
        <v>0</v>
      </c>
    </row>
    <row r="48" spans="1:39">
      <c r="B48" s="481" t="s">
        <v>148</v>
      </c>
      <c r="C48" s="482">
        <f t="shared" si="27"/>
        <v>0</v>
      </c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63"/>
      <c r="AF48" s="563">
        <f>-AE48*2</f>
        <v>0</v>
      </c>
    </row>
    <row r="49" spans="1:38" ht="16" thickBot="1">
      <c r="B49" s="481" t="s">
        <v>56</v>
      </c>
      <c r="C49" s="541">
        <f>SUM(C45:C48)</f>
        <v>1168016.3546097383</v>
      </c>
      <c r="D49" s="541"/>
      <c r="E49" s="541">
        <f>SUM(E44:E48)</f>
        <v>-46035.360287444513</v>
      </c>
      <c r="F49" s="541">
        <f t="shared" ref="F49:H49" si="29">SUM(F44:F48)</f>
        <v>404885.58467682183</v>
      </c>
      <c r="G49" s="541">
        <f t="shared" si="29"/>
        <v>1486369.5928734979</v>
      </c>
      <c r="H49" s="541">
        <f t="shared" si="29"/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F49" si="30">SUM(V44:V48)</f>
        <v>-978605.01769356499</v>
      </c>
      <c r="W49" s="541">
        <f t="shared" si="30"/>
        <v>-801445.32791263924</v>
      </c>
      <c r="X49" s="541">
        <f t="shared" si="30"/>
        <v>-669275.24177190254</v>
      </c>
      <c r="Y49" s="541">
        <f t="shared" si="30"/>
        <v>-610882.24266902648</v>
      </c>
      <c r="Z49" s="541">
        <f t="shared" si="30"/>
        <v>-574943.04011245095</v>
      </c>
      <c r="AA49" s="541">
        <f t="shared" si="30"/>
        <v>-537511.27700320142</v>
      </c>
      <c r="AB49" s="541">
        <f t="shared" si="30"/>
        <v>-503286.03358886426</v>
      </c>
      <c r="AC49" s="541">
        <f t="shared" si="30"/>
        <v>-446057.56644618412</v>
      </c>
      <c r="AD49" s="541">
        <f t="shared" si="30"/>
        <v>-360318.05653003836</v>
      </c>
      <c r="AE49" s="541">
        <f t="shared" si="30"/>
        <v>-361293.91793314053</v>
      </c>
      <c r="AF49" s="541">
        <f t="shared" si="30"/>
        <v>-362272.42229420948</v>
      </c>
    </row>
    <row r="50" spans="1:38" ht="16" thickTop="1">
      <c r="B50" s="481" t="s">
        <v>260</v>
      </c>
      <c r="E50" s="482" t="e">
        <f ca="1">_xll.Get_Balance(E42,"YTD","USD","Total","A","","001",$A$42,"GD","WA","DL")</f>
        <v>#NAME?</v>
      </c>
      <c r="F50" s="482" t="e">
        <f ca="1">_xll.Get_Balance(F42,"YTD","USD","Total","A","","001",$A$42,"GD","WA","DL")</f>
        <v>#NAME?</v>
      </c>
      <c r="G50" s="482" t="e">
        <f ca="1">_xll.Get_Balance(G42,"YTD","USD","Total","A","","001",$A$42,"GD","WA","DL")</f>
        <v>#NAME?</v>
      </c>
      <c r="H50" s="482" t="e">
        <f ca="1">_xll.Get_Balance(H42,"YTD","USD","Total","A","","001",$A$42,"GD","WA","DL")</f>
        <v>#NAME?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 t="e">
        <f ca="1">_xll.Get_Balance(V42,"YTD","USD","Total","A","","001",$A$42,"GD","WA","DL")</f>
        <v>#NAME?</v>
      </c>
      <c r="W50" s="482" t="e">
        <f ca="1">_xll.Get_Balance(W42,"YTD","USD","Total","A","","001",$A$42,"GD","WA","DL")</f>
        <v>#NAME?</v>
      </c>
      <c r="X50" s="482" t="e">
        <f ca="1">_xll.Get_Balance(X42,"YTD","USD","Total","A","","001",$A$42,"GD","WA","DL")</f>
        <v>#NAME?</v>
      </c>
      <c r="Y50" s="482" t="e">
        <f ca="1">_xll.Get_Balance(Y42,"YTD","USD","Total","A","","001",$A$42,"GD","WA","DL")</f>
        <v>#NAME?</v>
      </c>
      <c r="Z50" s="482" t="e">
        <f ca="1">_xll.Get_Balance(Z42,"YTD","USD","Total","A","","001",$A$42,"GD","WA","DL")</f>
        <v>#NAME?</v>
      </c>
      <c r="AA50" s="482" t="e">
        <f ca="1">_xll.Get_Balance(AA42,"YTD","USD","Total","A","","001",$A$42,"GD","WA","DL")</f>
        <v>#NAME?</v>
      </c>
      <c r="AB50" s="482" t="e">
        <f ca="1">_xll.Get_Balance(AB42,"YTD","USD","Total","A","","001",$A$42,"GD","WA","DL")</f>
        <v>#NAME?</v>
      </c>
      <c r="AC50" s="482" t="e">
        <f ca="1">_xll.Get_Balance(AC42,"YTD","USD","Total","A","","001",$A$42,"GD","WA","DL")</f>
        <v>#NAME?</v>
      </c>
      <c r="AD50" s="482" t="e">
        <f ca="1">_xll.Get_Balance(AD42,"YTD","USD","Total","A","","001",$A$42,"GD","WA","DL")</f>
        <v>#NAME?</v>
      </c>
      <c r="AE50" s="482" t="e">
        <f ca="1">_xll.Get_Balance(AE42,"YTD","USD","Total","A","","001",$A$42,"GD","WA","DL")</f>
        <v>#NAME?</v>
      </c>
      <c r="AF50" s="482" t="e">
        <f ca="1">_xll.Get_Balance(AF42,"YTD","USD","Total","A","","001",$A$42,"GD","WA","DL")</f>
        <v>#NAME?</v>
      </c>
      <c r="AL50" s="563"/>
    </row>
    <row r="51" spans="1:38">
      <c r="B51" s="481" t="s">
        <v>245</v>
      </c>
      <c r="E51" s="482" t="e">
        <f t="shared" ref="E51:H51" ca="1" si="31">E49-E50</f>
        <v>#NAME?</v>
      </c>
      <c r="F51" s="482" t="e">
        <f t="shared" ca="1" si="31"/>
        <v>#NAME?</v>
      </c>
      <c r="G51" s="482" t="e">
        <f t="shared" ca="1" si="31"/>
        <v>#NAME?</v>
      </c>
      <c r="H51" s="482" t="e">
        <f t="shared" ca="1" si="31"/>
        <v>#NAME?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 t="e">
        <f t="shared" ref="V51:AF51" ca="1" si="32">V49-V50</f>
        <v>#NAME?</v>
      </c>
      <c r="W51" s="482" t="e">
        <f t="shared" ca="1" si="32"/>
        <v>#NAME?</v>
      </c>
      <c r="X51" s="482" t="e">
        <f t="shared" ca="1" si="32"/>
        <v>#NAME?</v>
      </c>
      <c r="Y51" s="482" t="e">
        <f t="shared" ca="1" si="32"/>
        <v>#NAME?</v>
      </c>
      <c r="Z51" s="482" t="e">
        <f t="shared" ca="1" si="32"/>
        <v>#NAME?</v>
      </c>
      <c r="AA51" s="482" t="e">
        <f t="shared" ca="1" si="32"/>
        <v>#NAME?</v>
      </c>
      <c r="AB51" s="482" t="e">
        <f t="shared" ca="1" si="32"/>
        <v>#NAME?</v>
      </c>
      <c r="AC51" s="482" t="e">
        <f t="shared" ca="1" si="32"/>
        <v>#NAME?</v>
      </c>
      <c r="AD51" s="482" t="e">
        <f t="shared" ca="1" si="32"/>
        <v>#NAME?</v>
      </c>
      <c r="AE51" s="482" t="e">
        <f t="shared" ca="1" si="32"/>
        <v>#NAME?</v>
      </c>
      <c r="AF51" s="482" t="e">
        <f t="shared" ca="1" si="32"/>
        <v>#NAME?</v>
      </c>
    </row>
    <row r="53" spans="1:38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</row>
    <row r="54" spans="1:38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:AD54" si="33">U54+1</f>
        <v>201502</v>
      </c>
      <c r="W54" s="484">
        <f t="shared" si="33"/>
        <v>201503</v>
      </c>
      <c r="X54" s="484">
        <f t="shared" si="33"/>
        <v>201504</v>
      </c>
      <c r="Y54" s="484">
        <f t="shared" si="33"/>
        <v>201505</v>
      </c>
      <c r="Z54" s="484">
        <f t="shared" si="33"/>
        <v>201506</v>
      </c>
      <c r="AA54" s="484">
        <f t="shared" si="33"/>
        <v>201507</v>
      </c>
      <c r="AB54" s="484">
        <f t="shared" si="33"/>
        <v>201508</v>
      </c>
      <c r="AC54" s="484">
        <f t="shared" si="33"/>
        <v>201509</v>
      </c>
      <c r="AD54" s="484">
        <f t="shared" si="33"/>
        <v>201510</v>
      </c>
      <c r="AE54" s="484">
        <f>AD54+1</f>
        <v>201511</v>
      </c>
      <c r="AF54" s="484">
        <f t="shared" ref="AF54" si="34">AE54+1</f>
        <v>201512</v>
      </c>
      <c r="AL54" s="563"/>
    </row>
    <row r="55" spans="1:38">
      <c r="A55" s="483"/>
      <c r="B55" s="481" t="s">
        <v>37</v>
      </c>
      <c r="C55" s="491">
        <f>SUM(U55:AF55)</f>
        <v>83964548</v>
      </c>
      <c r="D55" s="491">
        <f t="shared" ref="D55:D65" si="35">SUM(G55:R55)</f>
        <v>118507804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f>Feb!$G23</f>
        <v>13011547</v>
      </c>
      <c r="W55" s="543">
        <f>Mar!$G23</f>
        <v>10479005</v>
      </c>
      <c r="X55" s="543">
        <f>Apr!$G23</f>
        <v>7714478</v>
      </c>
      <c r="Y55" s="543">
        <f>May!$G23</f>
        <v>3297360</v>
      </c>
      <c r="Z55" s="543">
        <f>Jun!$G23</f>
        <v>1968489</v>
      </c>
      <c r="AA55" s="543">
        <f>Jul!$G23</f>
        <v>2145139</v>
      </c>
      <c r="AB55" s="543">
        <f>Aug!$G23</f>
        <v>1956853</v>
      </c>
      <c r="AC55" s="543">
        <f>Sep!$G23</f>
        <v>3273457</v>
      </c>
      <c r="AD55" s="543">
        <f>Oct!$G23</f>
        <v>4833518</v>
      </c>
      <c r="AE55" s="543">
        <f>Nov!$G23</f>
        <v>15375028</v>
      </c>
      <c r="AF55" s="543">
        <f>Dec!$G23</f>
        <v>0</v>
      </c>
    </row>
    <row r="56" spans="1:38">
      <c r="A56" s="483"/>
      <c r="B56" s="692" t="s">
        <v>351</v>
      </c>
      <c r="C56" s="491"/>
      <c r="D56" s="491"/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f>Oct!$G24</f>
        <v>425</v>
      </c>
      <c r="AE56" s="543"/>
      <c r="AF56" s="543"/>
    </row>
    <row r="57" spans="1:38">
      <c r="A57" s="483"/>
      <c r="B57" s="481" t="s">
        <v>38</v>
      </c>
      <c r="C57" s="491">
        <f t="shared" ref="C57:C64" si="36">SUM(U57:AF57)</f>
        <v>35336899</v>
      </c>
      <c r="D57" s="491">
        <f t="shared" si="35"/>
        <v>47081391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f>Feb!$G24</f>
        <v>5630395</v>
      </c>
      <c r="W57" s="543">
        <f>Mar!$G24</f>
        <v>4030672</v>
      </c>
      <c r="X57" s="543">
        <f>Apr!$G24</f>
        <v>3448422</v>
      </c>
      <c r="Y57" s="543">
        <f>May!$G24</f>
        <v>1901440</v>
      </c>
      <c r="Z57" s="543">
        <f>Jun!$G24</f>
        <v>1561904</v>
      </c>
      <c r="AA57" s="543">
        <f>Jul!$G24</f>
        <v>1323231</v>
      </c>
      <c r="AB57" s="543">
        <f>Aug!$G24</f>
        <v>1284422</v>
      </c>
      <c r="AC57" s="543">
        <f>Sep!$G24</f>
        <v>1854848</v>
      </c>
      <c r="AD57" s="543">
        <f>Oct!$G25</f>
        <v>2624293</v>
      </c>
      <c r="AE57" s="543">
        <f>Nov!$G25</f>
        <v>5503520</v>
      </c>
      <c r="AF57" s="543">
        <f>Dec!$G24</f>
        <v>0</v>
      </c>
    </row>
    <row r="58" spans="1:38">
      <c r="A58" s="483"/>
      <c r="B58" s="481" t="s">
        <v>39</v>
      </c>
      <c r="C58" s="491">
        <f t="shared" si="36"/>
        <v>0</v>
      </c>
      <c r="D58" s="491">
        <f t="shared" si="35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f>Feb!$G25</f>
        <v>0</v>
      </c>
      <c r="W58" s="543">
        <f>Mar!$G25</f>
        <v>0</v>
      </c>
      <c r="X58" s="543">
        <f>Apr!$G25</f>
        <v>0</v>
      </c>
      <c r="Y58" s="543">
        <f>May!$G25</f>
        <v>0</v>
      </c>
      <c r="Z58" s="543">
        <f>Jun!$G25</f>
        <v>0</v>
      </c>
      <c r="AA58" s="543">
        <f>Jul!$G25</f>
        <v>0</v>
      </c>
      <c r="AB58" s="543">
        <f>Aug!$G25</f>
        <v>0</v>
      </c>
      <c r="AC58" s="543">
        <f>Sep!$G25</f>
        <v>0</v>
      </c>
      <c r="AD58" s="543">
        <f>Oct!$G26</f>
        <v>0</v>
      </c>
      <c r="AE58" s="543">
        <f>Nov!$G26</f>
        <v>0</v>
      </c>
      <c r="AF58" s="543">
        <f>Dec!$G25</f>
        <v>0</v>
      </c>
    </row>
    <row r="59" spans="1:38">
      <c r="A59" s="483"/>
      <c r="B59" s="481" t="s">
        <v>40</v>
      </c>
      <c r="C59" s="491">
        <f t="shared" si="36"/>
        <v>4051936</v>
      </c>
      <c r="D59" s="491">
        <f t="shared" si="35"/>
        <v>4993299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f>Feb!$G26</f>
        <v>431734</v>
      </c>
      <c r="W59" s="543">
        <f>Mar!$G26</f>
        <v>335852</v>
      </c>
      <c r="X59" s="543">
        <f>Apr!$G26</f>
        <v>432834</v>
      </c>
      <c r="Y59" s="543">
        <f>May!$G26</f>
        <v>249954</v>
      </c>
      <c r="Z59" s="543">
        <f>Jun!$G26</f>
        <v>322862</v>
      </c>
      <c r="AA59" s="543">
        <f>Jul!$G26</f>
        <v>247078</v>
      </c>
      <c r="AB59" s="543">
        <f>Aug!$G26</f>
        <v>274690</v>
      </c>
      <c r="AC59" s="543">
        <f>Sep!$G26</f>
        <v>336073</v>
      </c>
      <c r="AD59" s="543">
        <f>Oct!$G27</f>
        <v>365802</v>
      </c>
      <c r="AE59" s="543">
        <f>Nov!$G27</f>
        <v>541377</v>
      </c>
      <c r="AF59" s="543">
        <f>Dec!$G26</f>
        <v>0</v>
      </c>
    </row>
    <row r="60" spans="1:38">
      <c r="A60" s="483"/>
      <c r="B60" s="481" t="s">
        <v>41</v>
      </c>
      <c r="C60" s="491">
        <f t="shared" si="36"/>
        <v>504443</v>
      </c>
      <c r="D60" s="491">
        <f t="shared" si="35"/>
        <v>658607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f>Feb!$G27</f>
        <v>68846</v>
      </c>
      <c r="W60" s="543">
        <f>Mar!$G27</f>
        <v>57610</v>
      </c>
      <c r="X60" s="543">
        <f>Apr!$G27</f>
        <v>49631</v>
      </c>
      <c r="Y60" s="543">
        <f>May!$G27</f>
        <v>46984</v>
      </c>
      <c r="Z60" s="543">
        <f>Jun!$G27</f>
        <v>30135</v>
      </c>
      <c r="AA60" s="543">
        <f>Jul!$G27</f>
        <v>28317</v>
      </c>
      <c r="AB60" s="543">
        <f>Aug!$G27</f>
        <v>27313</v>
      </c>
      <c r="AC60" s="543">
        <f>Sep!$G27</f>
        <v>29790</v>
      </c>
      <c r="AD60" s="543">
        <f>Oct!$G28</f>
        <v>36487</v>
      </c>
      <c r="AE60" s="543">
        <f>Nov!$G28</f>
        <v>47656</v>
      </c>
      <c r="AF60" s="543">
        <f>Dec!$G27</f>
        <v>0</v>
      </c>
    </row>
    <row r="61" spans="1:38">
      <c r="A61" s="483"/>
      <c r="B61" s="481" t="s">
        <v>42</v>
      </c>
      <c r="C61" s="491">
        <f t="shared" si="36"/>
        <v>0</v>
      </c>
      <c r="D61" s="491">
        <f t="shared" si="35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f>Feb!$G28</f>
        <v>0</v>
      </c>
      <c r="W61" s="543">
        <f>Mar!$G28</f>
        <v>0</v>
      </c>
      <c r="X61" s="543">
        <f>Apr!$G28</f>
        <v>0</v>
      </c>
      <c r="Y61" s="543">
        <f>May!$G28</f>
        <v>0</v>
      </c>
      <c r="Z61" s="543">
        <f>Jun!$G28</f>
        <v>0</v>
      </c>
      <c r="AA61" s="543">
        <f>Jul!$G28</f>
        <v>0</v>
      </c>
      <c r="AB61" s="543">
        <f>Aug!$G28</f>
        <v>0</v>
      </c>
      <c r="AC61" s="543">
        <f>Sep!$G28</f>
        <v>0</v>
      </c>
      <c r="AD61" s="543">
        <f>Oct!$G29</f>
        <v>0</v>
      </c>
      <c r="AE61" s="543">
        <f>Nov!$G29</f>
        <v>0</v>
      </c>
      <c r="AF61" s="543">
        <f>Dec!$G28</f>
        <v>0</v>
      </c>
    </row>
    <row r="62" spans="1:38">
      <c r="A62" s="483"/>
      <c r="B62" s="481" t="s">
        <v>43</v>
      </c>
      <c r="C62" s="491">
        <f t="shared" si="36"/>
        <v>871865</v>
      </c>
      <c r="D62" s="491">
        <f t="shared" si="35"/>
        <v>1097701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f>Feb!$G29</f>
        <v>123377</v>
      </c>
      <c r="W62" s="543">
        <f>Mar!$G29</f>
        <v>100117</v>
      </c>
      <c r="X62" s="543">
        <f>Apr!$G29</f>
        <v>81076</v>
      </c>
      <c r="Y62" s="543">
        <f>May!$G29</f>
        <v>83536</v>
      </c>
      <c r="Z62" s="543">
        <f>Jun!$G29</f>
        <v>56511</v>
      </c>
      <c r="AA62" s="543">
        <f>Jul!$G29</f>
        <v>13364</v>
      </c>
      <c r="AB62" s="543">
        <f>Aug!$G29</f>
        <v>68158</v>
      </c>
      <c r="AC62" s="543">
        <f>Sep!$G29</f>
        <v>45470</v>
      </c>
      <c r="AD62" s="543">
        <f>Oct!$G30</f>
        <v>96224</v>
      </c>
      <c r="AE62" s="543">
        <f>Nov!$G30</f>
        <v>74781</v>
      </c>
      <c r="AF62" s="543">
        <f>Dec!$G29</f>
        <v>0</v>
      </c>
    </row>
    <row r="63" spans="1:38">
      <c r="A63" s="483"/>
      <c r="B63" s="481" t="s">
        <v>74</v>
      </c>
      <c r="C63" s="491">
        <f t="shared" si="36"/>
        <v>26235211</v>
      </c>
      <c r="D63" s="491">
        <f t="shared" si="35"/>
        <v>30501971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f>Feb!$G30</f>
        <v>2735718</v>
      </c>
      <c r="W63" s="543">
        <f>Mar!$G30</f>
        <v>2608561</v>
      </c>
      <c r="X63" s="543">
        <f>Apr!$G30</f>
        <v>2436951</v>
      </c>
      <c r="Y63" s="543">
        <f>May!$G30</f>
        <v>2203136</v>
      </c>
      <c r="Z63" s="543">
        <f>Jun!$G30</f>
        <v>1941783</v>
      </c>
      <c r="AA63" s="543">
        <f>Jul!$G30</f>
        <v>1912819</v>
      </c>
      <c r="AB63" s="543">
        <f>Aug!$G30</f>
        <v>1943542</v>
      </c>
      <c r="AC63" s="543">
        <f>Sep!$G30</f>
        <v>1945064</v>
      </c>
      <c r="AD63" s="543">
        <f>Oct!$G31</f>
        <v>2201297</v>
      </c>
      <c r="AE63" s="543">
        <f>Nov!$G31</f>
        <v>3020174</v>
      </c>
      <c r="AF63" s="543">
        <f>Dec!$G30</f>
        <v>0</v>
      </c>
    </row>
    <row r="64" spans="1:38" ht="16" thickBot="1">
      <c r="A64" s="483"/>
      <c r="B64" s="481" t="s">
        <v>21</v>
      </c>
      <c r="C64" s="542">
        <f t="shared" si="36"/>
        <v>150965327</v>
      </c>
      <c r="D64" s="542">
        <f t="shared" si="35"/>
        <v>202840773</v>
      </c>
      <c r="E64" s="542">
        <f>SUM(E55:E63)</f>
        <v>6495675</v>
      </c>
      <c r="F64" s="542">
        <f>SUM(F55:F63)</f>
        <v>16361170</v>
      </c>
      <c r="G64" s="542">
        <f t="shared" ref="G64:H64" si="37">SUM(G55:G63)</f>
        <v>24248041</v>
      </c>
      <c r="H64" s="542">
        <f t="shared" si="37"/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:AF64" si="38">SUM(V55:V63)</f>
        <v>22001617</v>
      </c>
      <c r="W64" s="542">
        <f t="shared" si="38"/>
        <v>17611817</v>
      </c>
      <c r="X64" s="542">
        <f t="shared" si="38"/>
        <v>14163392</v>
      </c>
      <c r="Y64" s="542">
        <f t="shared" si="38"/>
        <v>7782410</v>
      </c>
      <c r="Z64" s="542">
        <f t="shared" si="38"/>
        <v>5881684</v>
      </c>
      <c r="AA64" s="542">
        <f t="shared" si="38"/>
        <v>5669948</v>
      </c>
      <c r="AB64" s="542">
        <f t="shared" si="38"/>
        <v>5554978</v>
      </c>
      <c r="AC64" s="542">
        <f t="shared" si="38"/>
        <v>7484702</v>
      </c>
      <c r="AD64" s="542">
        <f t="shared" si="38"/>
        <v>10158046</v>
      </c>
      <c r="AE64" s="542">
        <f t="shared" si="38"/>
        <v>24562536</v>
      </c>
      <c r="AF64" s="542">
        <f t="shared" si="38"/>
        <v>0</v>
      </c>
    </row>
    <row r="65" spans="1:39" ht="16" thickTop="1">
      <c r="A65" s="483"/>
      <c r="B65" s="481" t="s">
        <v>269</v>
      </c>
      <c r="C65" s="491">
        <f>SUM(U65:AF65)</f>
        <v>126402791</v>
      </c>
      <c r="D65" s="491">
        <f t="shared" si="35"/>
        <v>202840773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f>Mar!G32</f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691">
        <v>5554978</v>
      </c>
      <c r="AC65" s="491">
        <v>7484702</v>
      </c>
      <c r="AD65" s="491">
        <v>10158046</v>
      </c>
      <c r="AE65" s="491"/>
      <c r="AF65" s="491"/>
      <c r="AG65" s="491"/>
    </row>
    <row r="66" spans="1:39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I66" s="539"/>
    </row>
    <row r="67" spans="1:39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:AD67" si="39">U67+1</f>
        <v>201502</v>
      </c>
      <c r="W67" s="484">
        <f t="shared" si="39"/>
        <v>201503</v>
      </c>
      <c r="X67" s="484">
        <f t="shared" si="39"/>
        <v>201504</v>
      </c>
      <c r="Y67" s="484">
        <f t="shared" si="39"/>
        <v>201505</v>
      </c>
      <c r="Z67" s="484">
        <f t="shared" si="39"/>
        <v>201506</v>
      </c>
      <c r="AA67" s="484">
        <f t="shared" si="39"/>
        <v>201507</v>
      </c>
      <c r="AB67" s="484">
        <f t="shared" si="39"/>
        <v>201508</v>
      </c>
      <c r="AC67" s="484">
        <f t="shared" si="39"/>
        <v>201509</v>
      </c>
      <c r="AD67" s="484">
        <f t="shared" si="39"/>
        <v>201510</v>
      </c>
      <c r="AE67" s="484">
        <f>AD67+1</f>
        <v>201511</v>
      </c>
      <c r="AF67" s="484">
        <f t="shared" ref="AF67" si="40">AE67+1</f>
        <v>201512</v>
      </c>
    </row>
    <row r="68" spans="1:39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270</v>
      </c>
      <c r="AF68" s="496" t="s">
        <v>270</v>
      </c>
    </row>
    <row r="69" spans="1:39">
      <c r="A69" s="483"/>
      <c r="B69" s="692" t="s">
        <v>351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696">
        <v>2.5000000000000001E-4</v>
      </c>
      <c r="AE69" s="496"/>
      <c r="AF69" s="496"/>
    </row>
    <row r="70" spans="1:39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270</v>
      </c>
      <c r="AF70" s="496" t="s">
        <v>270</v>
      </c>
    </row>
    <row r="71" spans="1:39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270</v>
      </c>
      <c r="AF71" s="496" t="s">
        <v>270</v>
      </c>
    </row>
    <row r="72" spans="1:39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270</v>
      </c>
      <c r="AF72" s="496" t="s">
        <v>270</v>
      </c>
    </row>
    <row r="73" spans="1:39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270</v>
      </c>
      <c r="AF73" s="496" t="s">
        <v>270</v>
      </c>
    </row>
    <row r="74" spans="1:39" ht="16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270</v>
      </c>
      <c r="AF74" s="496" t="s">
        <v>270</v>
      </c>
    </row>
    <row r="75" spans="1:39" ht="16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270</v>
      </c>
      <c r="AF75" s="496" t="s">
        <v>270</v>
      </c>
      <c r="AH75" s="522">
        <f>AH4</f>
        <v>201510</v>
      </c>
      <c r="AI75" s="531"/>
      <c r="AJ75" s="523"/>
      <c r="AK75" s="523"/>
      <c r="AL75" s="523"/>
      <c r="AM75" s="524"/>
    </row>
    <row r="76" spans="1:39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270</v>
      </c>
      <c r="AF76" s="496" t="s">
        <v>270</v>
      </c>
      <c r="AH76" s="499" t="s">
        <v>302</v>
      </c>
      <c r="AI76" s="528">
        <v>191025</v>
      </c>
      <c r="AJ76" s="358" t="s">
        <v>288</v>
      </c>
      <c r="AK76" s="358" t="s">
        <v>289</v>
      </c>
      <c r="AL76" s="381">
        <f>IF((SUMIF(U78:AF78,AH75,U80:AF80))&gt;0,(SUMIF(U78:AF78,AH75,U80:AF80)),0)</f>
        <v>2077.2391300000004</v>
      </c>
      <c r="AM76" s="500">
        <f>IF((SUMIF(U78:AF78,AH75,U80:AF80))&lt;0,-(SUMIF(U78:AF78,AH75,U80:AF80)),0)</f>
        <v>0</v>
      </c>
    </row>
    <row r="77" spans="1:39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H77" s="499" t="s">
        <v>303</v>
      </c>
      <c r="AI77" s="528">
        <v>805110</v>
      </c>
      <c r="AJ77" s="358" t="s">
        <v>288</v>
      </c>
      <c r="AK77" s="358" t="s">
        <v>289</v>
      </c>
      <c r="AL77" s="381">
        <f>IF((SUMIF(U78:AF78,AH75,U80:AF80))&lt;0,-(SUMIF(U78:AF78,AH75,U80:AF80)),0)</f>
        <v>0</v>
      </c>
      <c r="AM77" s="500">
        <f>IF((SUMIF(U78:AF78,AH75,U80:AF80))&gt;0,(SUMIF(U78:AF78,AH75,U80:AF80)),0)</f>
        <v>2077.2391300000004</v>
      </c>
    </row>
    <row r="78" spans="1:39" s="483" customFormat="1">
      <c r="A78" s="484">
        <v>191025</v>
      </c>
      <c r="B78" s="485" t="s">
        <v>256</v>
      </c>
      <c r="C78" s="486" t="s">
        <v>251</v>
      </c>
      <c r="D78" s="693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:AD78" si="41">U78+1</f>
        <v>201502</v>
      </c>
      <c r="W78" s="484">
        <f t="shared" si="41"/>
        <v>201503</v>
      </c>
      <c r="X78" s="484">
        <f t="shared" si="41"/>
        <v>201504</v>
      </c>
      <c r="Y78" s="484">
        <f t="shared" si="41"/>
        <v>201505</v>
      </c>
      <c r="Z78" s="484">
        <f t="shared" si="41"/>
        <v>201506</v>
      </c>
      <c r="AA78" s="484">
        <f t="shared" si="41"/>
        <v>201507</v>
      </c>
      <c r="AB78" s="484">
        <f t="shared" si="41"/>
        <v>201508</v>
      </c>
      <c r="AC78" s="484">
        <f t="shared" si="41"/>
        <v>201509</v>
      </c>
      <c r="AD78" s="484">
        <f t="shared" si="41"/>
        <v>201510</v>
      </c>
      <c r="AE78" s="484">
        <f>AD78+1</f>
        <v>201511</v>
      </c>
      <c r="AF78" s="484">
        <f t="shared" ref="AF78" si="42">AE78+1</f>
        <v>201512</v>
      </c>
      <c r="AH78" s="499" t="s">
        <v>273</v>
      </c>
      <c r="AI78" s="528"/>
      <c r="AJ78" s="358"/>
      <c r="AK78" s="358"/>
      <c r="AL78" s="381">
        <v>0</v>
      </c>
      <c r="AM78" s="500">
        <v>0</v>
      </c>
    </row>
    <row r="79" spans="1:39" ht="16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f>U82</f>
        <v>-43064.021250000013</v>
      </c>
      <c r="W79" s="482">
        <f t="shared" ref="W79:AD79" si="43">V82</f>
        <v>-38138.117780000015</v>
      </c>
      <c r="X79" s="482">
        <f t="shared" si="43"/>
        <v>-34282.961340000016</v>
      </c>
      <c r="Y79" s="482">
        <f t="shared" si="43"/>
        <v>-31253.873050000017</v>
      </c>
      <c r="Z79" s="482">
        <f t="shared" si="43"/>
        <v>-29770.929110000015</v>
      </c>
      <c r="AA79" s="482">
        <f t="shared" si="43"/>
        <v>-28708.282540000015</v>
      </c>
      <c r="AB79" s="482">
        <f t="shared" si="43"/>
        <v>-27692.487530000013</v>
      </c>
      <c r="AC79" s="482">
        <f t="shared" si="43"/>
        <v>-26711.886850000014</v>
      </c>
      <c r="AD79" s="482">
        <f t="shared" si="43"/>
        <v>-25249.174790000012</v>
      </c>
      <c r="AE79" s="482">
        <f>AD82</f>
        <v>-23171.93566000001</v>
      </c>
      <c r="AF79" s="482">
        <f>AE82</f>
        <v>-23171.93566000001</v>
      </c>
      <c r="AH79" s="501" t="s">
        <v>273</v>
      </c>
      <c r="AI79" s="529"/>
      <c r="AJ79" s="502"/>
      <c r="AK79" s="502"/>
      <c r="AL79" s="503">
        <v>0</v>
      </c>
      <c r="AM79" s="521">
        <v>0</v>
      </c>
    </row>
    <row r="80" spans="1:39" ht="16" thickBot="1">
      <c r="B80" s="481" t="s">
        <v>23</v>
      </c>
      <c r="C80" s="482">
        <f>SUM(U80:AF80)</f>
        <v>26725.539980000009</v>
      </c>
      <c r="D80" s="494">
        <f>SUM(G80:R80)</f>
        <v>-69617.720970000009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f t="shared" ref="V80:AD80" si="44">SUMPRODUCT(V55:V63,V68:V76)</f>
        <v>4925.9034700000011</v>
      </c>
      <c r="W80" s="482">
        <f t="shared" si="44"/>
        <v>3855.1564400000007</v>
      </c>
      <c r="X80" s="482">
        <f t="shared" si="44"/>
        <v>3029.0882899999997</v>
      </c>
      <c r="Y80" s="482">
        <f t="shared" si="44"/>
        <v>1482.9439400000001</v>
      </c>
      <c r="Z80" s="482">
        <f t="shared" si="44"/>
        <v>1062.6465700000001</v>
      </c>
      <c r="AA80" s="482">
        <f t="shared" si="44"/>
        <v>1015.7950099999999</v>
      </c>
      <c r="AB80" s="482">
        <f t="shared" si="44"/>
        <v>980.60068000000001</v>
      </c>
      <c r="AC80" s="482">
        <f t="shared" si="44"/>
        <v>1462.7120600000003</v>
      </c>
      <c r="AD80" s="482">
        <f t="shared" si="44"/>
        <v>2077.2391300000004</v>
      </c>
      <c r="AE80" s="563"/>
      <c r="AF80" s="563"/>
      <c r="AH80" s="516"/>
      <c r="AI80" s="530"/>
      <c r="AJ80" s="517"/>
      <c r="AK80" s="517"/>
      <c r="AL80" s="517" t="s">
        <v>159</v>
      </c>
      <c r="AM80" s="518">
        <f>SUM(AL76:AL79)-SUM(AM76:AM79)</f>
        <v>0</v>
      </c>
    </row>
    <row r="81" spans="2:32">
      <c r="B81" s="481" t="s">
        <v>148</v>
      </c>
      <c r="C81" s="482">
        <f>SUM(I81:T81)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0</v>
      </c>
    </row>
    <row r="82" spans="2:32" ht="16" thickBot="1">
      <c r="B82" s="481" t="s">
        <v>56</v>
      </c>
      <c r="C82" s="541">
        <f>SUM(C80:C81)</f>
        <v>26725.539980000009</v>
      </c>
      <c r="D82" s="541"/>
      <c r="E82" s="541">
        <f t="shared" ref="E82:H82" si="45">SUM(E79:E81)</f>
        <v>38932.729789999998</v>
      </c>
      <c r="F82" s="541">
        <f t="shared" si="45"/>
        <v>8140.2385399999985</v>
      </c>
      <c r="G82" s="541">
        <f t="shared" si="45"/>
        <v>-693.68146000000161</v>
      </c>
      <c r="H82" s="541">
        <f t="shared" si="45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F82" si="46">SUM(V79:V81)</f>
        <v>-38138.117780000015</v>
      </c>
      <c r="W82" s="541">
        <f t="shared" si="46"/>
        <v>-34282.961340000016</v>
      </c>
      <c r="X82" s="541">
        <f t="shared" si="46"/>
        <v>-31253.873050000017</v>
      </c>
      <c r="Y82" s="541">
        <f t="shared" si="46"/>
        <v>-29770.929110000015</v>
      </c>
      <c r="Z82" s="541">
        <f t="shared" si="46"/>
        <v>-28708.282540000015</v>
      </c>
      <c r="AA82" s="541">
        <f t="shared" si="46"/>
        <v>-27692.487530000013</v>
      </c>
      <c r="AB82" s="541">
        <f t="shared" si="46"/>
        <v>-26711.886850000014</v>
      </c>
      <c r="AC82" s="541">
        <f t="shared" si="46"/>
        <v>-25249.174790000012</v>
      </c>
      <c r="AD82" s="541">
        <f t="shared" si="46"/>
        <v>-23171.93566000001</v>
      </c>
      <c r="AE82" s="541">
        <f t="shared" si="46"/>
        <v>-23171.93566000001</v>
      </c>
      <c r="AF82" s="541">
        <f t="shared" si="46"/>
        <v>-23171.93566000001</v>
      </c>
    </row>
    <row r="83" spans="2:32" ht="16" thickTop="1">
      <c r="B83" s="481" t="s">
        <v>260</v>
      </c>
      <c r="E83" s="482" t="e">
        <f ca="1">_xll.Get_Balance(E78,"YTD","USD","Total","A","","001",$A$78,"GD","WA","DL")</f>
        <v>#NAME?</v>
      </c>
      <c r="F83" s="482" t="e">
        <f ca="1">_xll.Get_Balance(F78,"YTD","USD","Total","A","","001",$A$78,"GD","WA","DL")</f>
        <v>#NAME?</v>
      </c>
      <c r="G83" s="482" t="e">
        <f ca="1">_xll.Get_Balance(G78,"YTD","USD","Total","A","","001",$A$78,"GD","WA","DL")</f>
        <v>#NAME?</v>
      </c>
      <c r="H83" s="482" t="e">
        <f ca="1">_xll.Get_Balance(H78,"YTD","USD","Total","A","","001",$A$78,"GD","WA","DL")</f>
        <v>#NAME?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 t="e">
        <f ca="1">_xll.Get_Balance(V78,"YTD","USD","Total","A","","001",$A$78,"GD","WA","DL")</f>
        <v>#NAME?</v>
      </c>
      <c r="W83" s="482" t="e">
        <f ca="1">_xll.Get_Balance(W78,"YTD","USD","Total","A","","001",$A$78,"GD","WA","DL")</f>
        <v>#NAME?</v>
      </c>
      <c r="X83" s="482" t="e">
        <f ca="1">_xll.Get_Balance(X78,"YTD","USD","Total","A","","001",$A$78,"GD","WA","DL")</f>
        <v>#NAME?</v>
      </c>
      <c r="Y83" s="482" t="e">
        <f ca="1">_xll.Get_Balance(Y78,"YTD","USD","Total","A","","001",$A$78,"GD","WA","DL")</f>
        <v>#NAME?</v>
      </c>
      <c r="Z83" s="482" t="e">
        <f ca="1">_xll.Get_Balance(Z78,"YTD","USD","Total","A","","001",$A$78,"GD","WA","DL")</f>
        <v>#NAME?</v>
      </c>
      <c r="AA83" s="482" t="e">
        <f ca="1">_xll.Get_Balance(AA78,"YTD","USD","Total","A","","001",$A$78,"GD","WA","DL")</f>
        <v>#NAME?</v>
      </c>
      <c r="AB83" s="482" t="e">
        <f ca="1">_xll.Get_Balance(AB78,"YTD","USD","Total","A","","001",$A$78,"GD","WA","DL")</f>
        <v>#NAME?</v>
      </c>
      <c r="AC83" s="482" t="e">
        <f ca="1">_xll.Get_Balance(AC78,"YTD","USD","Total","A","","001",$A$78,"GD","WA","DL")</f>
        <v>#NAME?</v>
      </c>
      <c r="AD83" s="482" t="e">
        <f ca="1">_xll.Get_Balance(AD78,"YTD","USD","Total","A","","001",$A$78,"GD","WA","DL")</f>
        <v>#NAME?</v>
      </c>
      <c r="AE83" s="482" t="e">
        <f ca="1">_xll.Get_Balance(AE78,"YTD","USD","Total","A","","001",$A$78,"GD","WA","DL")</f>
        <v>#NAME?</v>
      </c>
      <c r="AF83" s="482" t="e">
        <f ca="1">_xll.Get_Balance(AF78,"YTD","USD","Total","A","","001",$A$78,"GD","WA","DL")</f>
        <v>#NAME?</v>
      </c>
    </row>
    <row r="84" spans="2:32">
      <c r="B84" s="481" t="s">
        <v>245</v>
      </c>
      <c r="E84" s="482" t="e">
        <f t="shared" ref="E84:H84" ca="1" si="47">E82-E83</f>
        <v>#NAME?</v>
      </c>
      <c r="F84" s="482" t="e">
        <f t="shared" ca="1" si="47"/>
        <v>#NAME?</v>
      </c>
      <c r="G84" s="482" t="e">
        <f t="shared" ca="1" si="47"/>
        <v>#NAME?</v>
      </c>
      <c r="H84" s="482" t="e">
        <f t="shared" ca="1" si="47"/>
        <v>#NAME?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 t="e">
        <f t="shared" ref="V84:AF84" ca="1" si="48">V82-V83</f>
        <v>#NAME?</v>
      </c>
      <c r="W84" s="482" t="e">
        <f t="shared" ca="1" si="48"/>
        <v>#NAME?</v>
      </c>
      <c r="X84" s="482" t="e">
        <f t="shared" ca="1" si="48"/>
        <v>#NAME?</v>
      </c>
      <c r="Y84" s="482" t="e">
        <f t="shared" ca="1" si="48"/>
        <v>#NAME?</v>
      </c>
      <c r="Z84" s="482" t="e">
        <f t="shared" ca="1" si="48"/>
        <v>#NAME?</v>
      </c>
      <c r="AA84" s="482" t="e">
        <f t="shared" ca="1" si="48"/>
        <v>#NAME?</v>
      </c>
      <c r="AB84" s="482" t="e">
        <f t="shared" ca="1" si="48"/>
        <v>#NAME?</v>
      </c>
      <c r="AC84" s="482" t="e">
        <f t="shared" ca="1" si="48"/>
        <v>#NAME?</v>
      </c>
      <c r="AD84" s="482" t="e">
        <f t="shared" ca="1" si="48"/>
        <v>#NAME?</v>
      </c>
      <c r="AE84" s="482" t="e">
        <f t="shared" ca="1" si="48"/>
        <v>#NAME?</v>
      </c>
      <c r="AF84" s="482" t="e">
        <f t="shared" ca="1" si="48"/>
        <v>#NAME?</v>
      </c>
    </row>
  </sheetData>
  <conditionalFormatting sqref="E29 K29:AG29 L65:AG65">
    <cfRule type="cellIs" dxfId="635" priority="23" operator="notEqual">
      <formula>E28</formula>
    </cfRule>
  </conditionalFormatting>
  <conditionalFormatting sqref="F29">
    <cfRule type="cellIs" dxfId="634" priority="22" operator="notEqual">
      <formula>F28</formula>
    </cfRule>
  </conditionalFormatting>
  <conditionalFormatting sqref="G29">
    <cfRule type="cellIs" dxfId="633" priority="21" operator="notEqual">
      <formula>G28</formula>
    </cfRule>
  </conditionalFormatting>
  <conditionalFormatting sqref="H29">
    <cfRule type="cellIs" dxfId="632" priority="20" operator="notEqual">
      <formula>H28</formula>
    </cfRule>
  </conditionalFormatting>
  <conditionalFormatting sqref="G65">
    <cfRule type="cellIs" dxfId="631" priority="19" operator="notEqual">
      <formula>G64</formula>
    </cfRule>
  </conditionalFormatting>
  <conditionalFormatting sqref="H65">
    <cfRule type="cellIs" dxfId="630" priority="18" operator="notEqual">
      <formula>H64</formula>
    </cfRule>
  </conditionalFormatting>
  <conditionalFormatting sqref="E65">
    <cfRule type="cellIs" dxfId="629" priority="17" operator="notEqual">
      <formula>E64</formula>
    </cfRule>
  </conditionalFormatting>
  <conditionalFormatting sqref="F65">
    <cfRule type="cellIs" dxfId="628" priority="16" operator="notEqual">
      <formula>F64</formula>
    </cfRule>
  </conditionalFormatting>
  <conditionalFormatting sqref="AM80 AM47 AM11">
    <cfRule type="cellIs" dxfId="627" priority="15" operator="notEqual">
      <formula>0</formula>
    </cfRule>
  </conditionalFormatting>
  <conditionalFormatting sqref="D65">
    <cfRule type="cellIs" dxfId="626" priority="14" operator="notEqual">
      <formula>D64</formula>
    </cfRule>
  </conditionalFormatting>
  <conditionalFormatting sqref="C65">
    <cfRule type="cellIs" dxfId="625" priority="13" operator="notEqual">
      <formula>C64</formula>
    </cfRule>
  </conditionalFormatting>
  <conditionalFormatting sqref="D29">
    <cfRule type="cellIs" dxfId="624" priority="12" operator="notEqual">
      <formula>D28</formula>
    </cfRule>
  </conditionalFormatting>
  <conditionalFormatting sqref="C29">
    <cfRule type="cellIs" dxfId="623" priority="11" operator="notEqual">
      <formula>C28</formula>
    </cfRule>
  </conditionalFormatting>
  <conditionalFormatting sqref="I29">
    <cfRule type="cellIs" dxfId="622" priority="10" operator="notEqual">
      <formula>I28</formula>
    </cfRule>
  </conditionalFormatting>
  <conditionalFormatting sqref="I65">
    <cfRule type="cellIs" dxfId="621" priority="9" operator="notEqual">
      <formula>I64</formula>
    </cfRule>
  </conditionalFormatting>
  <conditionalFormatting sqref="J29">
    <cfRule type="cellIs" dxfId="620" priority="8" operator="notEqual">
      <formula>J28</formula>
    </cfRule>
  </conditionalFormatting>
  <conditionalFormatting sqref="J65">
    <cfRule type="cellIs" dxfId="619" priority="7" operator="notEqual">
      <formula>J64</formula>
    </cfRule>
  </conditionalFormatting>
  <conditionalFormatting sqref="K65">
    <cfRule type="cellIs" dxfId="618" priority="6" operator="notEqual">
      <formula>K64</formula>
    </cfRule>
  </conditionalFormatting>
  <conditionalFormatting sqref="U29">
    <cfRule type="cellIs" dxfId="617" priority="5" operator="notEqual">
      <formula>U28</formula>
    </cfRule>
  </conditionalFormatting>
  <conditionalFormatting sqref="U65">
    <cfRule type="cellIs" dxfId="616" priority="4" operator="notEqual">
      <formula>U64</formula>
    </cfRule>
  </conditionalFormatting>
  <conditionalFormatting sqref="V29">
    <cfRule type="cellIs" dxfId="615" priority="3" operator="notEqual">
      <formula>V28</formula>
    </cfRule>
  </conditionalFormatting>
  <conditionalFormatting sqref="V65">
    <cfRule type="cellIs" dxfId="614" priority="2" operator="notEqual">
      <formula>V64</formula>
    </cfRule>
  </conditionalFormatting>
  <conditionalFormatting sqref="W65">
    <cfRule type="cellIs" dxfId="613" priority="1" operator="notEqual">
      <formula>W64</formula>
    </cfRule>
  </conditionalFormatting>
  <pageMargins left="0" right="0" top="0.75" bottom="0.75" header="0.3" footer="0.3"/>
  <pageSetup scale="36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pageSetUpPr fitToPage="1"/>
  </sheetPr>
  <dimension ref="A1:AO93"/>
  <sheetViews>
    <sheetView zoomScale="89" zoomScaleNormal="89" zoomScaleSheetLayoutView="85" workbookViewId="0">
      <selection activeCell="AD6" sqref="AD6:AD7"/>
    </sheetView>
  </sheetViews>
  <sheetFormatPr defaultColWidth="9.09765625" defaultRowHeight="15.5"/>
  <cols>
    <col min="1" max="1" width="16.69921875" style="482" customWidth="1"/>
    <col min="2" max="2" width="25.296875" style="481" bestFit="1" customWidth="1"/>
    <col min="3" max="3" width="16.296875" style="482" bestFit="1" customWidth="1"/>
    <col min="4" max="4" width="16.09765625" style="482" customWidth="1"/>
    <col min="5" max="6" width="16.3984375" style="482" hidden="1" customWidth="1"/>
    <col min="7" max="7" width="16.296875" style="482" hidden="1" customWidth="1"/>
    <col min="8" max="9" width="18.3984375" style="482" hidden="1" customWidth="1"/>
    <col min="10" max="12" width="16.296875" style="482" hidden="1" customWidth="1"/>
    <col min="13" max="13" width="16.8984375" style="482" hidden="1" customWidth="1"/>
    <col min="14" max="18" width="16.296875" style="482" hidden="1" customWidth="1"/>
    <col min="19" max="20" width="16.296875" style="482" customWidth="1"/>
    <col min="21" max="21" width="18.3984375" style="482" customWidth="1"/>
    <col min="22" max="23" width="16.296875" style="482" customWidth="1"/>
    <col min="24" max="24" width="16.69921875" style="482" customWidth="1"/>
    <col min="25" max="25" width="16.8984375" style="482" customWidth="1"/>
    <col min="26" max="30" width="16.296875" style="482" customWidth="1"/>
    <col min="31" max="32" width="16.296875" style="482" hidden="1" customWidth="1"/>
    <col min="33" max="33" width="1.59765625" style="482" customWidth="1"/>
    <col min="34" max="34" width="36.296875" style="482" bestFit="1" customWidth="1"/>
    <col min="35" max="35" width="15.59765625" style="525" bestFit="1" customWidth="1"/>
    <col min="36" max="36" width="4.69921875" style="482" bestFit="1" customWidth="1"/>
    <col min="37" max="37" width="3.3984375" style="482" bestFit="1" customWidth="1"/>
    <col min="38" max="39" width="17.09765625" style="482" bestFit="1" customWidth="1"/>
    <col min="40" max="40" width="0.59765625" style="482" customWidth="1"/>
    <col min="41" max="16384" width="9.09765625" style="482"/>
  </cols>
  <sheetData>
    <row r="1" spans="1:39">
      <c r="A1" s="480" t="s">
        <v>265</v>
      </c>
      <c r="AH1" s="480" t="s">
        <v>315</v>
      </c>
    </row>
    <row r="2" spans="1:39">
      <c r="A2" s="483" t="s">
        <v>267</v>
      </c>
    </row>
    <row r="3" spans="1:39" s="483" customFormat="1" ht="31.5" thickBot="1">
      <c r="A3" s="484">
        <v>191010</v>
      </c>
      <c r="B3" s="485" t="s">
        <v>256</v>
      </c>
      <c r="C3" s="486" t="s">
        <v>251</v>
      </c>
      <c r="D3" s="693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I3" s="484"/>
    </row>
    <row r="4" spans="1:39" s="483" customFormat="1" ht="16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H4" s="544">
        <v>201510</v>
      </c>
      <c r="AI4" s="526"/>
      <c r="AJ4" s="514"/>
      <c r="AK4" s="514"/>
      <c r="AL4" s="514"/>
      <c r="AM4" s="515"/>
    </row>
    <row r="5" spans="1:39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f>T13</f>
        <v>-411904.7279799963</v>
      </c>
      <c r="V5" s="482">
        <f>U13</f>
        <v>-645308.82581999747</v>
      </c>
      <c r="W5" s="482">
        <f t="shared" ref="W5:AF5" si="1">V13</f>
        <v>-851213.3205709972</v>
      </c>
      <c r="X5" s="482">
        <f t="shared" si="1"/>
        <v>-383853.68833599566</v>
      </c>
      <c r="Y5" s="482">
        <f t="shared" si="1"/>
        <v>-1320748.2898439963</v>
      </c>
      <c r="Z5" s="482">
        <f t="shared" si="1"/>
        <v>-1486769.1493459961</v>
      </c>
      <c r="AA5" s="482">
        <f t="shared" si="1"/>
        <v>-1775279.9458759972</v>
      </c>
      <c r="AB5" s="482">
        <f t="shared" si="1"/>
        <v>-2119120.6388879968</v>
      </c>
      <c r="AC5" s="482">
        <f t="shared" si="1"/>
        <v>-2515662.2971379957</v>
      </c>
      <c r="AD5" s="482">
        <f t="shared" si="1"/>
        <v>-3163911.9401459969</v>
      </c>
      <c r="AE5" s="482">
        <f t="shared" si="1"/>
        <v>-3819344.4755009972</v>
      </c>
      <c r="AF5" s="482">
        <f t="shared" si="1"/>
        <v>-4461427.0393109964</v>
      </c>
      <c r="AH5" s="497" t="s">
        <v>304</v>
      </c>
      <c r="AI5" s="527">
        <v>419600</v>
      </c>
      <c r="AJ5" s="498" t="s">
        <v>288</v>
      </c>
      <c r="AK5" s="498" t="s">
        <v>291</v>
      </c>
      <c r="AL5" s="519">
        <v>0</v>
      </c>
      <c r="AM5" s="520">
        <f>IF(SUMIF(U3:AF3,AH4,U8:AF8)&gt;0,SUMIF(U3:AF3,AH4,U8:AF8),0)</f>
        <v>0</v>
      </c>
    </row>
    <row r="6" spans="1:39">
      <c r="B6" s="481" t="s">
        <v>254</v>
      </c>
      <c r="C6" s="482">
        <f>SUM(U6:AF6)</f>
        <v>-5056717.7079139985</v>
      </c>
      <c r="D6" s="482">
        <f>-1369125.49+SUM(E6:N6,E9:T9)</f>
        <v>-2.14532227255404E-3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f>Jan!$J$53</f>
        <v>331968.15844599903</v>
      </c>
      <c r="V6" s="482">
        <f>Feb!$J$53</f>
        <v>0</v>
      </c>
      <c r="W6" s="482">
        <f>Mar!$J$53</f>
        <v>547802.71264300169</v>
      </c>
      <c r="X6" s="482">
        <f>Apr!$J$53</f>
        <v>-1029654.8148680007</v>
      </c>
      <c r="Y6" s="482">
        <f>May!$J$53</f>
        <v>-494908.28808599967</v>
      </c>
      <c r="Z6" s="482">
        <f>Jun!$J$53</f>
        <v>-803843.28933000052</v>
      </c>
      <c r="AA6" s="482">
        <f>Jul!$J$53</f>
        <v>-778841.02357199905</v>
      </c>
      <c r="AB6" s="482">
        <f>Aug!$J$53</f>
        <v>-816009.11660199915</v>
      </c>
      <c r="AC6" s="482">
        <f>Sep!$J$53</f>
        <v>-995450.54456800083</v>
      </c>
      <c r="AD6" s="482">
        <f>Oct!$J$55</f>
        <v>-911936.74747700011</v>
      </c>
      <c r="AE6" s="482">
        <f>Nov!$J$55</f>
        <v>-105844.75449999981</v>
      </c>
      <c r="AF6" s="482">
        <f>Dec!$J$53</f>
        <v>0</v>
      </c>
      <c r="AH6" s="499" t="s">
        <v>305</v>
      </c>
      <c r="AI6" s="528">
        <v>431600</v>
      </c>
      <c r="AJ6" s="358" t="s">
        <v>288</v>
      </c>
      <c r="AK6" s="358" t="s">
        <v>291</v>
      </c>
      <c r="AL6" s="381">
        <f>IF(SUMIF(U3:AF3,AH4,U8:AF8)&lt;0,-SUMIF(U3:AF3,AH4,U8:AF8),0)</f>
        <v>2908.48</v>
      </c>
      <c r="AM6" s="500">
        <v>0</v>
      </c>
    </row>
    <row r="7" spans="1:39">
      <c r="B7" s="481" t="s">
        <v>255</v>
      </c>
      <c r="C7" s="482">
        <f t="shared" ref="C7:C11" si="2">SUM(U7:AF7)</f>
        <v>954206.43658299907</v>
      </c>
      <c r="D7" s="482">
        <f>1867859.17+SUM(E7:N7,E10:T10)</f>
        <v>-1.7596203833818436E-3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f>Jan!$K$53</f>
        <v>-634725.57628600008</v>
      </c>
      <c r="V7" s="482">
        <f>Feb!$K$53</f>
        <v>-205263.17475099966</v>
      </c>
      <c r="W7" s="482">
        <f>Mar!$K$53</f>
        <v>-80067.220408000168</v>
      </c>
      <c r="X7" s="482">
        <f>Apr!$K$53</f>
        <v>93304.253359999973</v>
      </c>
      <c r="Y7" s="482">
        <f>May!$K$53</f>
        <v>330056.73858399986</v>
      </c>
      <c r="Z7" s="482">
        <f>Jun!$K$53</f>
        <v>516691.11279999983</v>
      </c>
      <c r="AA7" s="482">
        <f>Jul!$K$53</f>
        <v>436622.32056000002</v>
      </c>
      <c r="AB7" s="482">
        <f>Aug!$K$53</f>
        <v>421397.81835199991</v>
      </c>
      <c r="AC7" s="482">
        <f>Sep!$K$53</f>
        <v>349566.40155999974</v>
      </c>
      <c r="AD7" s="482">
        <f>Oct!$K$55</f>
        <v>259412.69212199986</v>
      </c>
      <c r="AE7" s="563">
        <f>Nov!$K$55</f>
        <v>-532788.92931000004</v>
      </c>
      <c r="AF7" s="482">
        <f>Dec!$K$53</f>
        <v>0</v>
      </c>
      <c r="AH7" s="499" t="s">
        <v>306</v>
      </c>
      <c r="AI7" s="528">
        <v>191010</v>
      </c>
      <c r="AJ7" s="358" t="s">
        <v>288</v>
      </c>
      <c r="AK7" s="358" t="s">
        <v>291</v>
      </c>
      <c r="AL7" s="381">
        <f>IF((SUMIF(U3:AF3,AH4,U6:AF6)+SUMIF(U3:AF3,AH4,U7:AF7)+SUMIF(U3:AF3,AH4,U8:AF8))&gt;0,(SUMIF(U3:AF3,AH4,U6:AF6)+SUMIF(U3:AF3,AH4,U7:AF7)+SUMIF(U3:AF3,AH4,U8:AF8)),0)</f>
        <v>0</v>
      </c>
      <c r="AM7" s="500">
        <f>IF((SUMIF(U3:AF3,AH4,U6:AF6)+SUMIF(U3:AF3,AH4,U7:AF7)+SUMIF(U3:AF3,AH4,U8:AF8))&lt;0,-(SUMIF(U3:AF3,AH4,U6:AF6)+SUMIF(U3:AF3,AH4,U7:AF7)++SUMIF(U3:AF3,AH4,U8:AF8)),0)</f>
        <v>655432.53535500029</v>
      </c>
    </row>
    <row r="8" spans="1:39">
      <c r="B8" s="481" t="s">
        <v>258</v>
      </c>
      <c r="C8" s="482">
        <f t="shared" si="2"/>
        <v>-20775.64</v>
      </c>
      <c r="D8" s="482">
        <f>-7356.73+SUM(E8:N8,E11:T11)</f>
        <v>0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f>ROUND(((X5+X12)*(X4/12))+((SUM(X6:X7)/2)*(X4/12)),2)</f>
        <v>-709.89</v>
      </c>
      <c r="Y8" s="489">
        <f t="shared" ref="Y8:AC8" si="3">ROUND(((Y5+Y9+Y10+Y11)*(Y4/12))+((SUM(Y6:Y7)/2)*(Y4/12)),2)</f>
        <v>-1169.31</v>
      </c>
      <c r="Z8" s="489">
        <f t="shared" si="3"/>
        <v>-1358.62</v>
      </c>
      <c r="AA8" s="489">
        <f t="shared" si="3"/>
        <v>-1621.99</v>
      </c>
      <c r="AB8" s="489">
        <f t="shared" si="3"/>
        <v>-1930.36</v>
      </c>
      <c r="AC8" s="489">
        <f t="shared" si="3"/>
        <v>-2365.5</v>
      </c>
      <c r="AD8" s="489">
        <f>ROUND(((AD5+AD9+AD10+AD11)*(AD4/12))+((SUM(AD6:AD7)/2)*(AD4/12)),2)</f>
        <v>-2908.48</v>
      </c>
      <c r="AE8" s="482">
        <f>ROUND(((AE5+AE9+AE10+AE11)*(AE4/12))+((SUM(AE6:AE7)/2)*(AE4/12)),2)</f>
        <v>-3448.88</v>
      </c>
      <c r="AF8" s="489">
        <f>ROUND(((AF5+AF9+AF10+AF11)*(AF4/12))+((SUM(AF6:AF7)/2)*(AF4/12)),2)</f>
        <v>-3717.86</v>
      </c>
      <c r="AH8" s="499" t="s">
        <v>307</v>
      </c>
      <c r="AI8" s="528">
        <v>805120</v>
      </c>
      <c r="AJ8" s="358" t="s">
        <v>288</v>
      </c>
      <c r="AK8" s="358" t="s">
        <v>291</v>
      </c>
      <c r="AL8" s="381">
        <f>IF((SUMIF(U3:AF3,AH4,U6:AF6)+SUMIF(U3:AF3,AH4,U7:AF7))&lt;0,-(SUMIF(U3:AF3,AH4,U6:AF6)+SUMIF(U3:AF3,AH4,U7:AF7)),0)</f>
        <v>652524.05535500031</v>
      </c>
      <c r="AM8" s="500">
        <f>IF((SUMIF(U3:AF3,AH4,U6:AF6)+SUMIF(U3:AF3,AH4,U7:AF7))&gt;0,(SUMIF(U3:AF3,AH4,U6:AF6)+SUMIF(U3:AF3,AH4,U7:AF7)),0)</f>
        <v>0</v>
      </c>
    </row>
    <row r="9" spans="1:39">
      <c r="B9" s="481" t="s">
        <v>262</v>
      </c>
      <c r="C9" s="482">
        <f t="shared" si="2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F9" s="482">
        <v>0</v>
      </c>
      <c r="AH9" s="499" t="s">
        <v>11</v>
      </c>
      <c r="AI9" s="528">
        <v>191010</v>
      </c>
      <c r="AJ9" s="358" t="s">
        <v>288</v>
      </c>
      <c r="AK9" s="358" t="s">
        <v>291</v>
      </c>
      <c r="AL9" s="381">
        <v>0</v>
      </c>
      <c r="AM9" s="500">
        <v>0</v>
      </c>
    </row>
    <row r="10" spans="1:39" ht="16" thickBot="1">
      <c r="B10" s="481" t="s">
        <v>263</v>
      </c>
      <c r="C10" s="482">
        <f t="shared" si="2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F10" s="482">
        <v>0</v>
      </c>
      <c r="AH10" s="501" t="str">
        <f>AH9</f>
        <v>Tracker Transfer</v>
      </c>
      <c r="AI10" s="529">
        <f>AI44</f>
        <v>191000</v>
      </c>
      <c r="AJ10" s="529" t="str">
        <f>AJ44</f>
        <v>GD</v>
      </c>
      <c r="AK10" s="529" t="str">
        <f>AK44</f>
        <v>ID</v>
      </c>
      <c r="AL10" s="503">
        <v>0</v>
      </c>
      <c r="AM10" s="521">
        <f>AL9</f>
        <v>0</v>
      </c>
    </row>
    <row r="11" spans="1:39" ht="16" thickBot="1">
      <c r="B11" s="481" t="s">
        <v>264</v>
      </c>
      <c r="C11" s="482">
        <f t="shared" si="2"/>
        <v>-49.16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F11" s="482">
        <v>0</v>
      </c>
      <c r="AH11" s="516"/>
      <c r="AI11" s="530"/>
      <c r="AJ11" s="517"/>
      <c r="AK11" s="517"/>
      <c r="AL11" s="517" t="s">
        <v>159</v>
      </c>
      <c r="AM11" s="518">
        <f>SUM(AL5:AL10)-SUM(AM5:AM10)</f>
        <v>0</v>
      </c>
    </row>
    <row r="12" spans="1:39">
      <c r="B12" s="481" t="s">
        <v>148</v>
      </c>
      <c r="C12" s="482">
        <f>SUM(U12:AF12)</f>
        <v>70095.900000000009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</row>
    <row r="13" spans="1:39" ht="16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4">SUM(F5:F12)</f>
        <v>-179650.44284699953</v>
      </c>
      <c r="G13" s="541">
        <f t="shared" si="4"/>
        <v>-770749.33284699952</v>
      </c>
      <c r="H13" s="541">
        <f t="shared" si="4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F13" si="5">SUM(U5:U12)</f>
        <v>-645308.82581999747</v>
      </c>
      <c r="V13" s="541">
        <f t="shared" si="5"/>
        <v>-851213.3205709972</v>
      </c>
      <c r="W13" s="541">
        <f t="shared" si="5"/>
        <v>-383853.68833599566</v>
      </c>
      <c r="X13" s="541">
        <f t="shared" si="5"/>
        <v>-1320748.2898439963</v>
      </c>
      <c r="Y13" s="541">
        <f t="shared" si="5"/>
        <v>-1486769.1493459961</v>
      </c>
      <c r="Z13" s="541">
        <f t="shared" si="5"/>
        <v>-1775279.9458759972</v>
      </c>
      <c r="AA13" s="541">
        <f t="shared" si="5"/>
        <v>-2119120.6388879968</v>
      </c>
      <c r="AB13" s="541">
        <f t="shared" si="5"/>
        <v>-2515662.2971379957</v>
      </c>
      <c r="AC13" s="541">
        <f t="shared" si="5"/>
        <v>-3163911.9401459969</v>
      </c>
      <c r="AD13" s="541">
        <f t="shared" si="5"/>
        <v>-3819344.4755009972</v>
      </c>
      <c r="AE13" s="541">
        <f t="shared" si="5"/>
        <v>-4461427.0393109964</v>
      </c>
      <c r="AF13" s="541">
        <f t="shared" si="5"/>
        <v>-4465144.8993109968</v>
      </c>
    </row>
    <row r="14" spans="1:39" ht="16" thickTop="1">
      <c r="B14" s="481" t="s">
        <v>260</v>
      </c>
      <c r="E14" s="482" t="e">
        <f ca="1">_xll.Get_Balance(E3,"YTD","USD","Total","A","","001",$A$3,"GD","ID","DL")</f>
        <v>#NAME?</v>
      </c>
      <c r="F14" s="482" t="e">
        <f ca="1">_xll.Get_Balance(F3,"YTD","USD","Total","A","","001",$A$3,"GD","ID","DL")</f>
        <v>#NAME?</v>
      </c>
      <c r="G14" s="482" t="e">
        <f ca="1">_xll.Get_Balance(G3,"YTD","USD","Total","A","","001",$A$3,"GD","ID","DL")</f>
        <v>#NAME?</v>
      </c>
      <c r="H14" s="482" t="e">
        <f ca="1">_xll.Get_Balance(H3,"YTD","USD","Total","A","","001",$A$3,"GD","ID","DL")</f>
        <v>#NAME?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 t="e">
        <f ca="1">_xll.Get_Balance(S3,"YTD","USD","Total","A","","001",$A$3,"GD","ID","DL")</f>
        <v>#NAME?</v>
      </c>
      <c r="T14" s="482" t="e">
        <f ca="1">_xll.Get_Balance(T3,"YTD","USD","Total","A","","001",$A$3,"GD","ID","DL")</f>
        <v>#NAME?</v>
      </c>
      <c r="U14" s="482" t="e">
        <f ca="1">_xll.Get_Balance(U3,"YTD","USD","Total","A","","001",$A$3,"GD","ID","DL")</f>
        <v>#NAME?</v>
      </c>
      <c r="V14" s="482" t="e">
        <f ca="1">_xll.Get_Balance(V3,"YTD","USD","Total","A","","001",$A$3,"GD","ID","DL")</f>
        <v>#NAME?</v>
      </c>
      <c r="W14" s="482" t="e">
        <f ca="1">_xll.Get_Balance(W3,"YTD","USD","Total","A","","001",$A$3,"GD","ID","DL")</f>
        <v>#NAME?</v>
      </c>
      <c r="X14" s="482" t="e">
        <f ca="1">_xll.Get_Balance(X3,"YTD","USD","Total","A","","001",$A$3,"GD","ID","DL")</f>
        <v>#NAME?</v>
      </c>
      <c r="Y14" s="482" t="e">
        <f ca="1">_xll.Get_Balance(Y3,"YTD","USD","Total","A","","001",$A$3,"GD","ID","DL")</f>
        <v>#NAME?</v>
      </c>
      <c r="Z14" s="482" t="e">
        <f ca="1">_xll.Get_Balance(Z3,"YTD","USD","Total","A","","001",$A$3,"GD","ID","DL")</f>
        <v>#NAME?</v>
      </c>
      <c r="AA14" s="482" t="e">
        <f ca="1">_xll.Get_Balance(AA3,"YTD","USD","Total","A","","001",$A$3,"GD","ID","DL")</f>
        <v>#NAME?</v>
      </c>
      <c r="AB14" s="482" t="e">
        <f ca="1">_xll.Get_Balance(AB3,"YTD","USD","Total","A","","001",$A$3,"GD","ID","DL")</f>
        <v>#NAME?</v>
      </c>
      <c r="AC14" s="482" t="e">
        <f ca="1">_xll.Get_Balance(AC3,"YTD","USD","Total","A","","001",$A$3,"GD","ID","DL")</f>
        <v>#NAME?</v>
      </c>
      <c r="AD14" s="482" t="e">
        <f ca="1">_xll.Get_Balance(AD3,"YTD","USD","Total","A","","001",$A$3,"GD","ID","DL")</f>
        <v>#NAME?</v>
      </c>
      <c r="AE14" s="482" t="e">
        <f ca="1">_xll.Get_Balance(AE3,"YTD","USD","Total","A","","001",$A$3,"GD","ID","DL")</f>
        <v>#NAME?</v>
      </c>
      <c r="AF14" s="482" t="e">
        <f ca="1">_xll.Get_Balance(AF3,"YTD","USD","Total","A","","001",$A$3,"GD","ID","DL")</f>
        <v>#NAME?</v>
      </c>
    </row>
    <row r="15" spans="1:39">
      <c r="B15" s="481" t="s">
        <v>245</v>
      </c>
      <c r="E15" s="482" t="e">
        <f t="shared" ref="E15:H15" ca="1" si="6">E13-E14</f>
        <v>#NAME?</v>
      </c>
      <c r="F15" s="482" t="e">
        <f t="shared" ca="1" si="6"/>
        <v>#NAME?</v>
      </c>
      <c r="G15" s="482" t="e">
        <f t="shared" ca="1" si="6"/>
        <v>#NAME?</v>
      </c>
      <c r="H15" s="482" t="e">
        <f t="shared" ca="1" si="6"/>
        <v>#NAME?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 t="e">
        <f t="shared" ref="S15:T15" ca="1" si="7">S13-S14</f>
        <v>#NAME?</v>
      </c>
      <c r="T15" s="482" t="e">
        <f t="shared" ca="1" si="7"/>
        <v>#NAME?</v>
      </c>
      <c r="U15" s="482" t="e">
        <f ca="1">U13-U14</f>
        <v>#NAME?</v>
      </c>
      <c r="V15" s="482" t="e">
        <f ca="1">V13-V14</f>
        <v>#NAME?</v>
      </c>
      <c r="W15" s="482" t="e">
        <f t="shared" ref="W15:AF15" ca="1" si="8">W13-W14</f>
        <v>#NAME?</v>
      </c>
      <c r="X15" s="482" t="e">
        <f t="shared" ca="1" si="8"/>
        <v>#NAME?</v>
      </c>
      <c r="Y15" s="482" t="e">
        <f t="shared" ca="1" si="8"/>
        <v>#NAME?</v>
      </c>
      <c r="Z15" s="482" t="e">
        <f t="shared" ca="1" si="8"/>
        <v>#NAME?</v>
      </c>
      <c r="AA15" s="482" t="e">
        <f t="shared" ca="1" si="8"/>
        <v>#NAME?</v>
      </c>
      <c r="AB15" s="482" t="e">
        <f t="shared" ca="1" si="8"/>
        <v>#NAME?</v>
      </c>
      <c r="AC15" s="482" t="e">
        <f t="shared" ca="1" si="8"/>
        <v>#NAME?</v>
      </c>
      <c r="AD15" s="482" t="e">
        <f t="shared" ca="1" si="8"/>
        <v>#NAME?</v>
      </c>
      <c r="AE15" s="482" t="e">
        <f t="shared" ca="1" si="8"/>
        <v>#NAME?</v>
      </c>
      <c r="AF15" s="482" t="e">
        <f t="shared" ca="1" si="8"/>
        <v>#NAME?</v>
      </c>
    </row>
    <row r="16" spans="1:39">
      <c r="A16" s="483" t="s">
        <v>271</v>
      </c>
      <c r="U16" s="482" t="s">
        <v>330</v>
      </c>
    </row>
    <row r="17" spans="1:39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I17" s="558"/>
      <c r="AL17" s="482">
        <v>0</v>
      </c>
    </row>
    <row r="18" spans="1:39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9">U18+1</f>
        <v>201502</v>
      </c>
      <c r="W18" s="484">
        <f t="shared" si="9"/>
        <v>201503</v>
      </c>
      <c r="X18" s="484">
        <f t="shared" si="9"/>
        <v>201504</v>
      </c>
      <c r="Y18" s="484">
        <f t="shared" si="9"/>
        <v>201505</v>
      </c>
      <c r="Z18" s="484">
        <f t="shared" si="9"/>
        <v>201506</v>
      </c>
      <c r="AA18" s="484">
        <f t="shared" si="9"/>
        <v>201507</v>
      </c>
      <c r="AB18" s="484">
        <f t="shared" si="9"/>
        <v>201508</v>
      </c>
      <c r="AC18" s="484">
        <f t="shared" si="9"/>
        <v>201509</v>
      </c>
      <c r="AD18" s="484">
        <f t="shared" si="9"/>
        <v>201510</v>
      </c>
      <c r="AE18" s="484">
        <f t="shared" si="9"/>
        <v>201511</v>
      </c>
      <c r="AF18" s="484">
        <f t="shared" si="9"/>
        <v>201512</v>
      </c>
      <c r="AI18" s="558"/>
    </row>
    <row r="19" spans="1:39">
      <c r="A19" s="483"/>
      <c r="B19" s="481" t="s">
        <v>37</v>
      </c>
      <c r="C19" s="491">
        <f>SUM(U19:AF19)</f>
        <v>39097164</v>
      </c>
      <c r="D19" s="491">
        <f>SUM(F19:Q19)</f>
        <v>56675951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f>Jan!$K36</f>
        <v>8991869</v>
      </c>
      <c r="V19" s="491">
        <f>Feb!$K36</f>
        <v>5607449</v>
      </c>
      <c r="W19" s="491">
        <f>Mar!$K36</f>
        <v>5090227</v>
      </c>
      <c r="X19" s="491">
        <f>Apr!$K36</f>
        <v>3621515</v>
      </c>
      <c r="Y19" s="491">
        <f>May!$K36</f>
        <v>1624041</v>
      </c>
      <c r="Z19" s="491">
        <f>Jun!$K36</f>
        <v>985347</v>
      </c>
      <c r="AA19" s="491">
        <f>Jul!$K36</f>
        <v>990038</v>
      </c>
      <c r="AB19" s="491">
        <f>Aug!$K36</f>
        <v>930531</v>
      </c>
      <c r="AC19" s="491">
        <f>Sep!$K36</f>
        <v>1531464</v>
      </c>
      <c r="AD19" s="491">
        <f>Oct!$K36</f>
        <v>2476612</v>
      </c>
      <c r="AE19" s="491">
        <f>Nov!$K36</f>
        <v>7248071</v>
      </c>
      <c r="AF19" s="491">
        <f>Dec!$K36</f>
        <v>0</v>
      </c>
      <c r="AG19" s="491"/>
    </row>
    <row r="20" spans="1:39">
      <c r="A20" s="483"/>
      <c r="B20" s="481" t="s">
        <v>38</v>
      </c>
      <c r="C20" s="491">
        <f t="shared" ref="C20:C24" si="10">SUM(U20:AF20)</f>
        <v>18037646</v>
      </c>
      <c r="D20" s="491">
        <f>SUM(F20:Q20)</f>
        <v>22466066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f>Jan!$K37</f>
        <v>2818068</v>
      </c>
      <c r="V20" s="491">
        <f>Feb!$K37</f>
        <v>2333245</v>
      </c>
      <c r="W20" s="491">
        <f>Mar!$K37</f>
        <v>1927746</v>
      </c>
      <c r="X20" s="491">
        <f>Apr!$K37</f>
        <v>1633221</v>
      </c>
      <c r="Y20" s="491">
        <f>May!$K37</f>
        <v>1075904</v>
      </c>
      <c r="Z20" s="491">
        <f>Jun!$K37</f>
        <v>1089173</v>
      </c>
      <c r="AA20" s="491">
        <f>Jul!$K37</f>
        <v>964252</v>
      </c>
      <c r="AB20" s="491">
        <f>Aug!$K37</f>
        <v>1322423</v>
      </c>
      <c r="AC20" s="491">
        <f>Sep!$K37</f>
        <v>1101192</v>
      </c>
      <c r="AD20" s="491">
        <f>Oct!$K37</f>
        <v>1392647</v>
      </c>
      <c r="AE20" s="491">
        <f>Nov!$K37</f>
        <v>2379775</v>
      </c>
      <c r="AF20" s="491">
        <f>Dec!$K37</f>
        <v>0</v>
      </c>
      <c r="AG20" s="491"/>
    </row>
    <row r="21" spans="1:39" hidden="1">
      <c r="A21" s="483"/>
      <c r="B21" s="481" t="s">
        <v>39</v>
      </c>
      <c r="C21" s="491">
        <f t="shared" si="10"/>
        <v>0</v>
      </c>
      <c r="D21" s="491">
        <f>SUM(G21:R21)</f>
        <v>0</v>
      </c>
      <c r="E21" s="491"/>
      <c r="F21" s="491"/>
      <c r="G21" s="491"/>
      <c r="H21" s="491"/>
    </row>
    <row r="22" spans="1:39" hidden="1">
      <c r="A22" s="483"/>
      <c r="B22" s="481" t="s">
        <v>40</v>
      </c>
      <c r="C22" s="491">
        <f t="shared" si="10"/>
        <v>0</v>
      </c>
      <c r="D22" s="491">
        <f>SUM(G22:R22)</f>
        <v>0</v>
      </c>
      <c r="E22" s="491"/>
      <c r="F22" s="491"/>
      <c r="G22" s="491"/>
      <c r="H22" s="491"/>
    </row>
    <row r="23" spans="1:39" hidden="1">
      <c r="A23" s="483"/>
      <c r="B23" s="481" t="s">
        <v>41</v>
      </c>
      <c r="C23" s="491">
        <f t="shared" si="10"/>
        <v>0</v>
      </c>
      <c r="D23" s="491">
        <f>SUM(G23:R23)</f>
        <v>0</v>
      </c>
      <c r="E23" s="491"/>
      <c r="F23" s="491"/>
      <c r="G23" s="491"/>
      <c r="H23" s="491"/>
    </row>
    <row r="24" spans="1:39">
      <c r="A24" s="483"/>
      <c r="B24" s="481" t="s">
        <v>42</v>
      </c>
      <c r="C24" s="491">
        <f t="shared" si="10"/>
        <v>0</v>
      </c>
      <c r="D24" s="491">
        <f>SUM(F24:Q24)</f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f>Jan!$K41</f>
        <v>0</v>
      </c>
      <c r="V24" s="491">
        <f>Feb!$K41</f>
        <v>0</v>
      </c>
      <c r="W24" s="491">
        <f>Mar!$K41</f>
        <v>0</v>
      </c>
      <c r="X24" s="491">
        <f>Apr!$K41</f>
        <v>0</v>
      </c>
      <c r="Y24" s="491">
        <f>May!$K41</f>
        <v>0</v>
      </c>
      <c r="Z24" s="491">
        <f>Jun!$K41</f>
        <v>0</v>
      </c>
      <c r="AA24" s="491">
        <f>Jul!$K41</f>
        <v>0</v>
      </c>
      <c r="AB24" s="491">
        <f>Aug!$K41</f>
        <v>0</v>
      </c>
      <c r="AC24" s="491">
        <f>Sep!$K41</f>
        <v>0</v>
      </c>
      <c r="AD24" s="491">
        <f>Oct!$K41</f>
        <v>0</v>
      </c>
      <c r="AE24" s="491">
        <f>Nov!$K41</f>
        <v>0</v>
      </c>
      <c r="AF24" s="491">
        <f>Dec!$K41</f>
        <v>0</v>
      </c>
      <c r="AG24" s="491"/>
    </row>
    <row r="25" spans="1:39" hidden="1">
      <c r="A25" s="483"/>
      <c r="B25" s="481" t="s">
        <v>43</v>
      </c>
      <c r="C25" s="491">
        <f t="shared" ref="C25:C26" si="11">SUM(I25:T25)</f>
        <v>0</v>
      </c>
      <c r="D25" s="491">
        <f>SUM(G25:R25)</f>
        <v>0</v>
      </c>
      <c r="E25" s="491"/>
      <c r="F25" s="491"/>
      <c r="G25" s="491"/>
      <c r="H25" s="491"/>
    </row>
    <row r="26" spans="1:39" hidden="1">
      <c r="A26" s="483"/>
      <c r="B26" s="481" t="s">
        <v>74</v>
      </c>
      <c r="C26" s="491">
        <f t="shared" si="11"/>
        <v>0</v>
      </c>
      <c r="D26" s="491">
        <f>SUM(G26:R26)</f>
        <v>0</v>
      </c>
      <c r="E26" s="491"/>
      <c r="F26" s="491"/>
      <c r="G26" s="491"/>
      <c r="H26" s="491"/>
    </row>
    <row r="27" spans="1:39" ht="16" thickBot="1">
      <c r="A27" s="483"/>
      <c r="B27" s="481" t="s">
        <v>21</v>
      </c>
      <c r="C27" s="542">
        <f>SUM(U27:AF27)</f>
        <v>57134810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2">SUM(G19:G26)</f>
        <v>9508099</v>
      </c>
      <c r="H27" s="542">
        <f t="shared" si="12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F27" si="13">SUM(U19:U26)</f>
        <v>11809937</v>
      </c>
      <c r="V27" s="542">
        <f t="shared" si="13"/>
        <v>7940694</v>
      </c>
      <c r="W27" s="542">
        <f t="shared" si="13"/>
        <v>7017973</v>
      </c>
      <c r="X27" s="542">
        <f t="shared" si="13"/>
        <v>5254736</v>
      </c>
      <c r="Y27" s="542">
        <f t="shared" si="13"/>
        <v>2699945</v>
      </c>
      <c r="Z27" s="542">
        <f t="shared" si="13"/>
        <v>2074520</v>
      </c>
      <c r="AA27" s="542">
        <f t="shared" si="13"/>
        <v>1954290</v>
      </c>
      <c r="AB27" s="542">
        <f t="shared" si="13"/>
        <v>2252954</v>
      </c>
      <c r="AC27" s="542">
        <f t="shared" si="13"/>
        <v>2632656</v>
      </c>
      <c r="AD27" s="542">
        <f t="shared" si="13"/>
        <v>3869259</v>
      </c>
      <c r="AE27" s="542">
        <f t="shared" si="13"/>
        <v>9627846</v>
      </c>
      <c r="AF27" s="542">
        <f t="shared" si="13"/>
        <v>0</v>
      </c>
    </row>
    <row r="28" spans="1:39" ht="16" thickTop="1">
      <c r="A28" s="483"/>
      <c r="B28" s="481" t="s">
        <v>269</v>
      </c>
      <c r="C28" s="491">
        <f>SUM(U28:AF28)</f>
        <v>47506964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43"/>
      <c r="AF28" s="543"/>
    </row>
    <row r="29" spans="1:39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</row>
    <row r="30" spans="1:39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4">U30+1</f>
        <v>201502</v>
      </c>
      <c r="W30" s="484">
        <f t="shared" si="14"/>
        <v>201503</v>
      </c>
      <c r="X30" s="484">
        <f t="shared" si="14"/>
        <v>201504</v>
      </c>
      <c r="Y30" s="484">
        <f t="shared" si="14"/>
        <v>201505</v>
      </c>
      <c r="Z30" s="484">
        <f t="shared" si="14"/>
        <v>201506</v>
      </c>
      <c r="AA30" s="484">
        <f t="shared" si="14"/>
        <v>201507</v>
      </c>
      <c r="AB30" s="484">
        <f t="shared" si="14"/>
        <v>201508</v>
      </c>
      <c r="AC30" s="484">
        <f t="shared" si="14"/>
        <v>201509</v>
      </c>
      <c r="AD30" s="484">
        <f t="shared" si="14"/>
        <v>201510</v>
      </c>
      <c r="AE30" s="484">
        <f t="shared" si="14"/>
        <v>201511</v>
      </c>
      <c r="AF30" s="484">
        <f t="shared" si="14"/>
        <v>201512</v>
      </c>
    </row>
    <row r="31" spans="1:39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270</v>
      </c>
      <c r="AF31" s="492" t="s">
        <v>270</v>
      </c>
      <c r="AH31" s="707"/>
      <c r="AI31" s="708"/>
      <c r="AJ31" s="708"/>
      <c r="AK31" s="708"/>
      <c r="AL31" s="708"/>
      <c r="AM31" s="564"/>
    </row>
    <row r="32" spans="1:39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270</v>
      </c>
      <c r="AF32" s="492" t="s">
        <v>270</v>
      </c>
      <c r="AH32" s="708"/>
      <c r="AI32" s="708"/>
      <c r="AJ32" s="708"/>
      <c r="AK32" s="708"/>
      <c r="AL32" s="708"/>
    </row>
    <row r="33" spans="1:39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H33" s="708"/>
      <c r="AI33" s="708"/>
      <c r="AJ33" s="708"/>
      <c r="AK33" s="708"/>
      <c r="AL33" s="708"/>
    </row>
    <row r="34" spans="1:39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H34" s="708"/>
      <c r="AI34" s="708"/>
      <c r="AJ34" s="708"/>
      <c r="AK34" s="708"/>
      <c r="AL34" s="708"/>
    </row>
    <row r="35" spans="1:39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H35" s="708"/>
      <c r="AI35" s="708"/>
      <c r="AJ35" s="708"/>
      <c r="AK35" s="708"/>
      <c r="AL35" s="708"/>
    </row>
    <row r="36" spans="1:39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270</v>
      </c>
      <c r="AF36" s="492" t="s">
        <v>270</v>
      </c>
      <c r="AH36" s="708"/>
      <c r="AI36" s="708"/>
      <c r="AJ36" s="708"/>
      <c r="AK36" s="708"/>
      <c r="AL36" s="708"/>
    </row>
    <row r="37" spans="1:39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</row>
    <row r="38" spans="1:39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</row>
    <row r="39" spans="1:39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H39" s="564"/>
    </row>
    <row r="40" spans="1:39" s="483" customFormat="1" ht="16" thickBot="1">
      <c r="A40" s="536">
        <v>191000</v>
      </c>
      <c r="B40" s="485" t="s">
        <v>256</v>
      </c>
      <c r="C40" s="486" t="s">
        <v>251</v>
      </c>
      <c r="D40" s="693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5">U40+1</f>
        <v>201502</v>
      </c>
      <c r="W40" s="484">
        <f t="shared" si="15"/>
        <v>201503</v>
      </c>
      <c r="X40" s="484">
        <f t="shared" si="15"/>
        <v>201504</v>
      </c>
      <c r="Y40" s="484">
        <f t="shared" si="15"/>
        <v>201505</v>
      </c>
      <c r="Z40" s="484">
        <f t="shared" si="15"/>
        <v>201506</v>
      </c>
      <c r="AA40" s="484">
        <f t="shared" si="15"/>
        <v>201507</v>
      </c>
      <c r="AB40" s="484">
        <f t="shared" si="15"/>
        <v>201508</v>
      </c>
      <c r="AC40" s="484">
        <f t="shared" si="15"/>
        <v>201509</v>
      </c>
      <c r="AD40" s="484">
        <f t="shared" si="15"/>
        <v>201510</v>
      </c>
      <c r="AE40" s="484">
        <f t="shared" si="15"/>
        <v>201511</v>
      </c>
      <c r="AF40" s="484">
        <f t="shared" si="15"/>
        <v>201512</v>
      </c>
      <c r="AH40" s="564"/>
      <c r="AI40" s="484"/>
    </row>
    <row r="41" spans="1:39" s="483" customFormat="1" ht="16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H41" s="513">
        <f>AH4</f>
        <v>201510</v>
      </c>
      <c r="AI41" s="526"/>
      <c r="AJ41" s="514"/>
      <c r="AK41" s="514"/>
      <c r="AL41" s="514"/>
      <c r="AM41" s="515"/>
    </row>
    <row r="42" spans="1:39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f>T47</f>
        <v>-1737468.3702166961</v>
      </c>
      <c r="V42" s="482">
        <f>U47</f>
        <v>-1379625.346046696</v>
      </c>
      <c r="W42" s="482">
        <f t="shared" ref="W42:AE42" si="16">V47</f>
        <v>-1139196.8415066958</v>
      </c>
      <c r="X42" s="482">
        <f t="shared" si="16"/>
        <v>-927936.74257669575</v>
      </c>
      <c r="Y42" s="482">
        <f t="shared" si="16"/>
        <v>-767403.9580847763</v>
      </c>
      <c r="Z42" s="482">
        <f t="shared" si="16"/>
        <v>-685903.92338007619</v>
      </c>
      <c r="AA42" s="482">
        <f t="shared" si="16"/>
        <v>-623363.07088572613</v>
      </c>
      <c r="AB42" s="482">
        <f t="shared" si="16"/>
        <v>-564427.81872858922</v>
      </c>
      <c r="AC42" s="482">
        <f t="shared" si="16"/>
        <v>-496357.29729955469</v>
      </c>
      <c r="AD42" s="482">
        <f t="shared" si="16"/>
        <v>-416678.50147523766</v>
      </c>
      <c r="AE42" s="482">
        <f t="shared" si="16"/>
        <v>-299312.54063388787</v>
      </c>
      <c r="AF42" s="482">
        <f>AE47</f>
        <v>-299561.96775108279</v>
      </c>
      <c r="AH42" s="497" t="s">
        <v>308</v>
      </c>
      <c r="AI42" s="527">
        <v>419600</v>
      </c>
      <c r="AJ42" s="498" t="s">
        <v>288</v>
      </c>
      <c r="AK42" s="498" t="s">
        <v>291</v>
      </c>
      <c r="AL42" s="519">
        <v>0</v>
      </c>
      <c r="AM42" s="520">
        <f>IF(SUMIF(U40:AF40,AH41,U44:AF44)&gt;0,SUMIF(U40:AF40,AH41,U44:AF44),0)</f>
        <v>0</v>
      </c>
    </row>
    <row r="43" spans="1:39">
      <c r="B43" s="481" t="s">
        <v>23</v>
      </c>
      <c r="C43" s="482">
        <f>SUM(U43:AF43)</f>
        <v>1444686.7752400001</v>
      </c>
      <c r="D43" s="491">
        <f>SUM(F43:Q43)</f>
        <v>-10808.645800000002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17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Z43" si="18">SUMPRODUCT(V19:V26,V31:V38)</f>
        <v>241476.50453999999</v>
      </c>
      <c r="W43" s="482">
        <f t="shared" si="18"/>
        <v>213416.55893</v>
      </c>
      <c r="X43" s="482">
        <f t="shared" si="18"/>
        <v>159796.52176</v>
      </c>
      <c r="Y43" s="482">
        <f t="shared" si="18"/>
        <v>82105.327449999997</v>
      </c>
      <c r="Z43" s="482">
        <f t="shared" si="18"/>
        <v>63086.153200000001</v>
      </c>
      <c r="AA43" s="482">
        <f>SUMPRODUCT(AA19:AA26,AA31:AA38)</f>
        <v>59429.958899999998</v>
      </c>
      <c r="AB43" s="482">
        <f t="shared" ref="AB43:AD43" si="19">SUMPRODUCT(AB19:AB26,AB31:AB38)</f>
        <v>68512.331139999995</v>
      </c>
      <c r="AC43" s="482">
        <f t="shared" si="19"/>
        <v>80059.068960000004</v>
      </c>
      <c r="AD43" s="482">
        <f t="shared" si="19"/>
        <v>117664.16618999999</v>
      </c>
      <c r="AE43" s="563"/>
      <c r="AF43" s="563"/>
      <c r="AH43" s="499" t="s">
        <v>309</v>
      </c>
      <c r="AI43" s="528">
        <v>431600</v>
      </c>
      <c r="AJ43" s="358" t="s">
        <v>288</v>
      </c>
      <c r="AK43" s="358" t="s">
        <v>291</v>
      </c>
      <c r="AL43" s="381">
        <f>IF(SUMIF(U40:AF40,AH41,U44:AF44)&lt;0,-SUMIF(U40:AF40,AH41,U44:AF44),0)</f>
        <v>298.20534865019806</v>
      </c>
      <c r="AM43" s="500">
        <v>0</v>
      </c>
    </row>
    <row r="44" spans="1:39">
      <c r="B44" s="481" t="s">
        <v>4</v>
      </c>
      <c r="C44" s="482">
        <f t="shared" ref="C44:C46" si="20">SUM(U44:AF44)</f>
        <v>-7174.6277475130237</v>
      </c>
      <c r="D44" s="491">
        <f>SUM(F44:Q44)</f>
        <v>1068.3629816064952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f>(((X42+X46)*(X41/12))+((X43/2)*(X41/12)))</f>
        <v>-705.49726808057983</v>
      </c>
      <c r="Y44" s="489">
        <f t="shared" ref="Y44:AD44" si="21">((Y42*(Y41/12))+((Y43/2)*(Y41/12)))</f>
        <v>-605.29274529981353</v>
      </c>
      <c r="Z44" s="489">
        <f t="shared" si="21"/>
        <v>-545.30070565006349</v>
      </c>
      <c r="AA44" s="489">
        <f t="shared" si="21"/>
        <v>-494.70674286310515</v>
      </c>
      <c r="AB44" s="489">
        <f t="shared" si="21"/>
        <v>-441.80971096549104</v>
      </c>
      <c r="AC44" s="489">
        <f t="shared" si="21"/>
        <v>-380.27313568296228</v>
      </c>
      <c r="AD44" s="489">
        <f t="shared" si="21"/>
        <v>-298.20534865019806</v>
      </c>
      <c r="AE44" s="560">
        <f>((AE42+AE45)*(AE41/12))+(((AE43+AE46)/2)*(AE41/12))</f>
        <v>-249.42711719490657</v>
      </c>
      <c r="AF44" s="560">
        <f t="shared" ref="AF44" si="22">((AF42*(AF41/12))+((AF43/2)*(AF41/12)))</f>
        <v>-249.63497312590235</v>
      </c>
      <c r="AH44" s="499" t="s">
        <v>310</v>
      </c>
      <c r="AI44" s="528">
        <v>191000</v>
      </c>
      <c r="AJ44" s="358" t="s">
        <v>288</v>
      </c>
      <c r="AK44" s="358" t="s">
        <v>291</v>
      </c>
      <c r="AL44" s="381">
        <f>IF((SUMIF(U40:AF40,AH41,U43:AF43)+SUMIF(U40:AF40,AH41,U44:AF44))&gt;0,(SUMIF(U40:AF40,AH41,U43:AF43)+SUMIF(U40:AF40,AH41,U44:AF44)),0)</f>
        <v>117365.96084134979</v>
      </c>
      <c r="AM44" s="500">
        <f>IF((SUMIF(U40:AF40,AH41,U43:AF43)+SUMIF(U40:AF40,AH41,U44:AF44))&lt;0,-(SUMIF(U40:AF40,AH41,U43:AF43)+SUMIF(U40:AF40,AH41,U44:AF44)),0)</f>
        <v>0</v>
      </c>
    </row>
    <row r="45" spans="1:39">
      <c r="B45" s="481" t="s">
        <v>259</v>
      </c>
      <c r="C45" s="482">
        <f t="shared" si="20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63">
        <f>-AE9-AE10-AE11</f>
        <v>0</v>
      </c>
      <c r="AF45" s="563">
        <v>0</v>
      </c>
      <c r="AH45" s="499" t="s">
        <v>311</v>
      </c>
      <c r="AI45" s="528">
        <v>805110</v>
      </c>
      <c r="AJ45" s="358" t="s">
        <v>288</v>
      </c>
      <c r="AK45" s="358" t="s">
        <v>291</v>
      </c>
      <c r="AL45" s="381">
        <f>IF((SUMIF(U40:AF40,AH41,U43:AF43))&lt;0,-(SUMIF(U40:AF40,AH41,U43:AF43)),0)</f>
        <v>0</v>
      </c>
      <c r="AM45" s="500">
        <f>IF((SUMIF(U40:AF40,AH41,U43:AF43))&gt;0,(SUMIF(U40:AF40,AH41,U43:AF43)),0)</f>
        <v>117664.16618999999</v>
      </c>
    </row>
    <row r="46" spans="1:39">
      <c r="B46" s="481" t="s">
        <v>148</v>
      </c>
      <c r="C46" s="482">
        <f t="shared" si="20"/>
        <v>144.61999999999989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63"/>
      <c r="AF46" s="563">
        <f>-AE46*2</f>
        <v>0</v>
      </c>
      <c r="AH46" s="499" t="s">
        <v>156</v>
      </c>
      <c r="AI46" s="528">
        <f t="shared" ref="AI46:AK47" si="23">AI44</f>
        <v>191000</v>
      </c>
      <c r="AJ46" s="528" t="str">
        <f t="shared" si="23"/>
        <v>GD</v>
      </c>
      <c r="AK46" s="528" t="str">
        <f t="shared" si="23"/>
        <v>ID</v>
      </c>
      <c r="AL46" s="381">
        <v>0</v>
      </c>
      <c r="AM46" s="500"/>
    </row>
    <row r="47" spans="1:39" ht="16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24">SUM(F42:F46)</f>
        <v>122203.74560073584</v>
      </c>
      <c r="G47" s="541">
        <f t="shared" si="24"/>
        <v>121907.05607206978</v>
      </c>
      <c r="H47" s="541">
        <f t="shared" si="24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F47" si="25">SUM(V42:V46)</f>
        <v>-1139196.8415066958</v>
      </c>
      <c r="W47" s="541">
        <f t="shared" si="25"/>
        <v>-927936.74257669575</v>
      </c>
      <c r="X47" s="541">
        <f t="shared" si="25"/>
        <v>-767403.9580847763</v>
      </c>
      <c r="Y47" s="541">
        <f t="shared" si="25"/>
        <v>-685903.92338007619</v>
      </c>
      <c r="Z47" s="541">
        <f t="shared" si="25"/>
        <v>-623363.07088572613</v>
      </c>
      <c r="AA47" s="541">
        <f t="shared" si="25"/>
        <v>-564427.81872858922</v>
      </c>
      <c r="AB47" s="541">
        <f t="shared" si="25"/>
        <v>-496357.29729955469</v>
      </c>
      <c r="AC47" s="541">
        <f t="shared" si="25"/>
        <v>-416678.50147523766</v>
      </c>
      <c r="AD47" s="541">
        <f t="shared" si="25"/>
        <v>-299312.54063388787</v>
      </c>
      <c r="AE47" s="541">
        <f t="shared" si="25"/>
        <v>-299561.96775108279</v>
      </c>
      <c r="AF47" s="541">
        <f t="shared" si="25"/>
        <v>-299811.60272420867</v>
      </c>
      <c r="AH47" s="501" t="str">
        <f>AH46</f>
        <v>Large Customer Refund</v>
      </c>
      <c r="AI47" s="529">
        <f t="shared" si="23"/>
        <v>805110</v>
      </c>
      <c r="AJ47" s="529" t="str">
        <f t="shared" si="23"/>
        <v>GD</v>
      </c>
      <c r="AK47" s="529" t="str">
        <f t="shared" si="23"/>
        <v>ID</v>
      </c>
      <c r="AL47" s="503"/>
      <c r="AM47" s="521">
        <v>0</v>
      </c>
    </row>
    <row r="48" spans="1:39" ht="16.5" thickTop="1" thickBot="1">
      <c r="B48" s="481" t="s">
        <v>260</v>
      </c>
      <c r="E48" s="482" t="e">
        <f ca="1">_xll.Get_Balance(E40,"YTD","USD","Total","A","","001",$A$40,"GD","ID","DL")</f>
        <v>#NAME?</v>
      </c>
      <c r="F48" s="482" t="e">
        <f ca="1">_xll.Get_Balance(F40,"YTD","USD","Total","A","","001",$A$40,"GD","ID","DL")</f>
        <v>#NAME?</v>
      </c>
      <c r="G48" s="482" t="e">
        <f ca="1">_xll.Get_Balance(G40,"YTD","USD","Total","A","","001",$A$40,"GD","ID","DL")</f>
        <v>#NAME?</v>
      </c>
      <c r="H48" s="482" t="e">
        <f ca="1">_xll.Get_Balance(H40,"YTD","USD","Total","A","","001",$A$40,"GD","ID","DL")</f>
        <v>#NAME?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 t="e">
        <f ca="1">_xll.Get_Balance(S40,"YTD","USD","Total","A","","001",$A$40,"GD","ID","DL")</f>
        <v>#NAME?</v>
      </c>
      <c r="T48" s="482" t="e">
        <f ca="1">_xll.Get_Balance(T40,"YTD","USD","Total","A","","001",$A$40,"GD","ID","DL")</f>
        <v>#NAME?</v>
      </c>
      <c r="U48" s="482" t="e">
        <f ca="1">_xll.Get_Balance(U40,"YTD","USD","Total","A","","001",$A$40,"GD","ID","DL")</f>
        <v>#NAME?</v>
      </c>
      <c r="V48" s="482" t="e">
        <f ca="1">_xll.Get_Balance(V40,"YTD","USD","Total","A","","001",$A$40,"GD","ID","DL")</f>
        <v>#NAME?</v>
      </c>
      <c r="W48" s="482" t="e">
        <f ca="1">_xll.Get_Balance(W40,"YTD","USD","Total","A","","001",$A$40,"GD","ID","DL")</f>
        <v>#NAME?</v>
      </c>
      <c r="X48" s="482" t="e">
        <f ca="1">_xll.Get_Balance(X40,"YTD","USD","Total","A","","001",$A$40,"GD","ID","DL")</f>
        <v>#NAME?</v>
      </c>
      <c r="Y48" s="482" t="e">
        <f ca="1">_xll.Get_Balance(Y40,"YTD","USD","Total","A","","001",$A$40,"GD","ID","DL")</f>
        <v>#NAME?</v>
      </c>
      <c r="Z48" s="482" t="e">
        <f ca="1">_xll.Get_Balance(Z40,"YTD","USD","Total","A","","001",$A$40,"GD","ID","DL")</f>
        <v>#NAME?</v>
      </c>
      <c r="AA48" s="482" t="e">
        <f ca="1">_xll.Get_Balance(AA40,"YTD","USD","Total","A","","001",$A$40,"GD","ID","DL")</f>
        <v>#NAME?</v>
      </c>
      <c r="AB48" s="482" t="e">
        <f ca="1">_xll.Get_Balance(AB40,"YTD","USD","Total","A","","001",$A$40,"GD","ID","DL")</f>
        <v>#NAME?</v>
      </c>
      <c r="AC48" s="482" t="e">
        <f ca="1">_xll.Get_Balance(AC40,"YTD","USD","Total","A","","001",$A$40,"GD","ID","DL")</f>
        <v>#NAME?</v>
      </c>
      <c r="AD48" s="482" t="e">
        <f ca="1">_xll.Get_Balance(AD40,"YTD","USD","Total","A","","001",$A$40,"GD","ID","DL")</f>
        <v>#NAME?</v>
      </c>
      <c r="AE48" s="482" t="e">
        <f ca="1">_xll.Get_Balance(AE40,"YTD","USD","Total","A","","001",$A$40,"GD","ID","DL")</f>
        <v>#NAME?</v>
      </c>
      <c r="AF48" s="482" t="e">
        <f ca="1">_xll.Get_Balance(AF40,"YTD","USD","Total","A","","001",$A$40,"GD","ID","DL")</f>
        <v>#NAME?</v>
      </c>
      <c r="AH48" s="516"/>
      <c r="AI48" s="530"/>
      <c r="AJ48" s="517"/>
      <c r="AK48" s="517"/>
      <c r="AL48" s="517" t="s">
        <v>159</v>
      </c>
      <c r="AM48" s="518">
        <f>SUM(AL42:AL47)-SUM(AM42:AM47)</f>
        <v>0</v>
      </c>
    </row>
    <row r="49" spans="1:33">
      <c r="B49" s="481" t="s">
        <v>245</v>
      </c>
      <c r="E49" s="482" t="e">
        <f t="shared" ref="E49:H49" ca="1" si="26">E47-E48</f>
        <v>#NAME?</v>
      </c>
      <c r="F49" s="482" t="e">
        <f t="shared" ca="1" si="26"/>
        <v>#NAME?</v>
      </c>
      <c r="G49" s="482" t="e">
        <f t="shared" ca="1" si="26"/>
        <v>#NAME?</v>
      </c>
      <c r="H49" s="482" t="e">
        <f t="shared" ca="1" si="26"/>
        <v>#NAME?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 t="e">
        <f ca="1">S47-S48</f>
        <v>#NAME?</v>
      </c>
      <c r="T49" s="482" t="e">
        <f ca="1">T47-T48</f>
        <v>#NAME?</v>
      </c>
      <c r="U49" s="482" t="e">
        <f ca="1">U47-U48</f>
        <v>#NAME?</v>
      </c>
      <c r="V49" s="482" t="e">
        <f t="shared" ref="V49:AG49" ca="1" si="27">V47-V48</f>
        <v>#NAME?</v>
      </c>
      <c r="W49" s="482" t="e">
        <f t="shared" ca="1" si="27"/>
        <v>#NAME?</v>
      </c>
      <c r="X49" s="482" t="e">
        <f t="shared" ca="1" si="27"/>
        <v>#NAME?</v>
      </c>
      <c r="Y49" s="482" t="e">
        <f t="shared" ca="1" si="27"/>
        <v>#NAME?</v>
      </c>
      <c r="Z49" s="482" t="e">
        <f t="shared" ca="1" si="27"/>
        <v>#NAME?</v>
      </c>
      <c r="AA49" s="482" t="e">
        <f t="shared" ca="1" si="27"/>
        <v>#NAME?</v>
      </c>
      <c r="AB49" s="482" t="e">
        <f t="shared" ca="1" si="27"/>
        <v>#NAME?</v>
      </c>
      <c r="AC49" s="482" t="e">
        <f t="shared" ca="1" si="27"/>
        <v>#NAME?</v>
      </c>
      <c r="AD49" s="482" t="e">
        <f t="shared" ca="1" si="27"/>
        <v>#NAME?</v>
      </c>
      <c r="AE49" s="482" t="e">
        <f t="shared" ca="1" si="27"/>
        <v>#NAME?</v>
      </c>
      <c r="AF49" s="482" t="e">
        <f t="shared" ca="1" si="27"/>
        <v>#NAME?</v>
      </c>
      <c r="AG49" s="482">
        <f t="shared" si="27"/>
        <v>0</v>
      </c>
    </row>
    <row r="50" spans="1:33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</row>
    <row r="51" spans="1:33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28">U51+1</f>
        <v>201502</v>
      </c>
      <c r="W51" s="484">
        <f t="shared" si="28"/>
        <v>201503</v>
      </c>
      <c r="X51" s="484">
        <f t="shared" si="28"/>
        <v>201504</v>
      </c>
      <c r="Y51" s="484">
        <f t="shared" si="28"/>
        <v>201505</v>
      </c>
      <c r="Z51" s="484">
        <f t="shared" si="28"/>
        <v>201506</v>
      </c>
      <c r="AA51" s="484">
        <f t="shared" si="28"/>
        <v>201507</v>
      </c>
      <c r="AB51" s="484">
        <f t="shared" si="28"/>
        <v>201508</v>
      </c>
      <c r="AC51" s="484">
        <f t="shared" si="28"/>
        <v>201509</v>
      </c>
      <c r="AD51" s="484">
        <f t="shared" si="28"/>
        <v>201510</v>
      </c>
      <c r="AE51" s="484">
        <f t="shared" si="28"/>
        <v>201511</v>
      </c>
      <c r="AF51" s="484">
        <f t="shared" si="28"/>
        <v>201512</v>
      </c>
    </row>
    <row r="52" spans="1:33">
      <c r="A52" s="483"/>
      <c r="B52" s="481" t="s">
        <v>37</v>
      </c>
      <c r="C52" s="491">
        <f>SUM(U52:AF52)</f>
        <v>39097164</v>
      </c>
      <c r="D52" s="491">
        <f>SUM(F52:Q52)</f>
        <v>52384687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f>Jan!$K36</f>
        <v>8991869</v>
      </c>
      <c r="V52" s="491">
        <f>Feb!$K36</f>
        <v>5607449</v>
      </c>
      <c r="W52" s="491">
        <f>Mar!$K36</f>
        <v>5090227</v>
      </c>
      <c r="X52" s="491">
        <f>Apr!$K36</f>
        <v>3621515</v>
      </c>
      <c r="Y52" s="491">
        <f>May!$K36</f>
        <v>1624041</v>
      </c>
      <c r="Z52" s="491">
        <f>Jun!$K36</f>
        <v>985347</v>
      </c>
      <c r="AA52" s="491">
        <f>Jul!$K36</f>
        <v>990038</v>
      </c>
      <c r="AB52" s="491">
        <f>Aug!$K36</f>
        <v>930531</v>
      </c>
      <c r="AC52" s="491">
        <f>Sep!$K36</f>
        <v>1531464</v>
      </c>
      <c r="AD52" s="491">
        <f>Oct!$K36</f>
        <v>2476612</v>
      </c>
      <c r="AE52" s="491">
        <f>Nov!$K36</f>
        <v>7248071</v>
      </c>
      <c r="AF52" s="491">
        <f>Dec!$K36</f>
        <v>0</v>
      </c>
      <c r="AG52" s="491">
        <f>Jan!$K36</f>
        <v>8991869</v>
      </c>
    </row>
    <row r="53" spans="1:33">
      <c r="A53" s="483"/>
      <c r="B53" s="481" t="s">
        <v>38</v>
      </c>
      <c r="C53" s="491">
        <f t="shared" ref="C53:C60" si="29">SUM(U53:AF53)</f>
        <v>18037646</v>
      </c>
      <c r="D53" s="491">
        <f>SUM(F53:Q53)</f>
        <v>20863784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f>Jan!$K37</f>
        <v>2818068</v>
      </c>
      <c r="V53" s="491">
        <f>Feb!$K37</f>
        <v>2333245</v>
      </c>
      <c r="W53" s="491">
        <f>Mar!$K37</f>
        <v>1927746</v>
      </c>
      <c r="X53" s="491">
        <f>Apr!$K37</f>
        <v>1633221</v>
      </c>
      <c r="Y53" s="491">
        <f>May!$K37</f>
        <v>1075904</v>
      </c>
      <c r="Z53" s="491">
        <f>Jun!$K37</f>
        <v>1089173</v>
      </c>
      <c r="AA53" s="491">
        <f>Jul!$K37</f>
        <v>964252</v>
      </c>
      <c r="AB53" s="491">
        <f>Aug!$K37</f>
        <v>1322423</v>
      </c>
      <c r="AC53" s="491">
        <f>Sep!$K37</f>
        <v>1101192</v>
      </c>
      <c r="AD53" s="491">
        <f>Oct!$K37</f>
        <v>1392647</v>
      </c>
      <c r="AE53" s="491">
        <f>Nov!$K37</f>
        <v>2379775</v>
      </c>
      <c r="AF53" s="491">
        <f>Dec!$K37</f>
        <v>0</v>
      </c>
      <c r="AG53" s="491">
        <f>Jan!$K37</f>
        <v>2818068</v>
      </c>
    </row>
    <row r="54" spans="1:33">
      <c r="A54" s="483"/>
      <c r="B54" s="481" t="s">
        <v>39</v>
      </c>
      <c r="C54" s="491">
        <f t="shared" si="29"/>
        <v>246353</v>
      </c>
      <c r="D54" s="491">
        <f>SUM(F54:Q54)</f>
        <v>216282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f>Jan!$K38</f>
        <v>2994</v>
      </c>
      <c r="V54" s="491">
        <f>Feb!$K38</f>
        <v>1973</v>
      </c>
      <c r="W54" s="491">
        <f>Mar!$K38</f>
        <v>871</v>
      </c>
      <c r="X54" s="491">
        <f>Apr!$K38</f>
        <v>5610</v>
      </c>
      <c r="Y54" s="491">
        <f>May!$K38</f>
        <v>18173</v>
      </c>
      <c r="Z54" s="491">
        <f>Jun!$K38</f>
        <v>21920</v>
      </c>
      <c r="AA54" s="491">
        <f>Jul!$K38</f>
        <v>28026</v>
      </c>
      <c r="AB54" s="491">
        <f>Aug!$K38</f>
        <v>47622</v>
      </c>
      <c r="AC54" s="491">
        <f>Sep!$K38</f>
        <v>26734</v>
      </c>
      <c r="AD54" s="491">
        <f>Oct!$K38</f>
        <v>68934</v>
      </c>
      <c r="AE54" s="491">
        <f>Nov!$K38</f>
        <v>23496</v>
      </c>
      <c r="AF54" s="491">
        <f>Dec!$K38</f>
        <v>0</v>
      </c>
      <c r="AG54" s="491">
        <f>Jan!$K38</f>
        <v>2994</v>
      </c>
    </row>
    <row r="55" spans="1:33">
      <c r="A55" s="483"/>
      <c r="B55" s="481" t="s">
        <v>40</v>
      </c>
      <c r="C55" s="491">
        <f t="shared" si="29"/>
        <v>0</v>
      </c>
      <c r="D55" s="491">
        <f>SUM(F55:Q55)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f>Jan!$K39</f>
        <v>0</v>
      </c>
      <c r="V55" s="491">
        <f>Feb!$K39</f>
        <v>0</v>
      </c>
      <c r="W55" s="491">
        <f>Mar!$K39</f>
        <v>0</v>
      </c>
      <c r="X55" s="491">
        <f>Apr!$K39</f>
        <v>0</v>
      </c>
      <c r="Y55" s="491">
        <f>May!$K39</f>
        <v>0</v>
      </c>
      <c r="Z55" s="491">
        <f>Jun!$K39</f>
        <v>0</v>
      </c>
      <c r="AA55" s="491">
        <f>Jul!$K39</f>
        <v>0</v>
      </c>
      <c r="AB55" s="491">
        <f>Aug!$K39</f>
        <v>0</v>
      </c>
      <c r="AC55" s="491">
        <f>Sep!$K39</f>
        <v>0</v>
      </c>
      <c r="AD55" s="491">
        <f>Oct!$K39</f>
        <v>0</v>
      </c>
      <c r="AE55" s="491">
        <f>Nov!$K39</f>
        <v>0</v>
      </c>
      <c r="AF55" s="491">
        <f>Dec!$K39</f>
        <v>0</v>
      </c>
      <c r="AG55" s="491">
        <f>Jan!$K39</f>
        <v>0</v>
      </c>
    </row>
    <row r="56" spans="1:33" hidden="1">
      <c r="A56" s="483"/>
      <c r="B56" s="481" t="s">
        <v>41</v>
      </c>
      <c r="C56" s="491">
        <f t="shared" si="29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</row>
    <row r="57" spans="1:33" hidden="1">
      <c r="A57" s="483"/>
      <c r="B57" s="481" t="s">
        <v>42</v>
      </c>
      <c r="C57" s="491">
        <f t="shared" si="29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</row>
    <row r="58" spans="1:33">
      <c r="A58" s="483"/>
      <c r="B58" s="481" t="s">
        <v>43</v>
      </c>
      <c r="C58" s="491">
        <f t="shared" si="29"/>
        <v>148273</v>
      </c>
      <c r="D58" s="491">
        <f>SUM(F58:Q58)</f>
        <v>312916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f>Jan!$K42</f>
        <v>40458</v>
      </c>
      <c r="V58" s="491">
        <f>Feb!$K42</f>
        <v>33212</v>
      </c>
      <c r="W58" s="491">
        <f>Mar!$K42</f>
        <v>33140</v>
      </c>
      <c r="X58" s="491">
        <f>Apr!$K42</f>
        <v>25684</v>
      </c>
      <c r="Y58" s="491">
        <f>May!$K42</f>
        <v>15779</v>
      </c>
      <c r="Z58" s="491">
        <f>Jun!$K42</f>
        <v>0</v>
      </c>
      <c r="AA58" s="491">
        <f>Jul!$K42</f>
        <v>0</v>
      </c>
      <c r="AB58" s="491">
        <f>Aug!$K42</f>
        <v>0</v>
      </c>
      <c r="AC58" s="491">
        <f>Sep!$K42</f>
        <v>0</v>
      </c>
      <c r="AD58" s="491">
        <f>Oct!$K42</f>
        <v>0</v>
      </c>
      <c r="AE58" s="491">
        <f>Nov!$K42</f>
        <v>0</v>
      </c>
      <c r="AF58" s="491">
        <f>Dec!$K42</f>
        <v>0</v>
      </c>
      <c r="AG58" s="491">
        <f>Jan!$K42</f>
        <v>40458</v>
      </c>
    </row>
    <row r="59" spans="1:33" hidden="1">
      <c r="A59" s="483"/>
      <c r="B59" s="481" t="s">
        <v>74</v>
      </c>
      <c r="C59" s="491">
        <f t="shared" ref="C59" si="30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</row>
    <row r="60" spans="1:33" ht="16" thickBot="1">
      <c r="A60" s="483"/>
      <c r="B60" s="481" t="s">
        <v>21</v>
      </c>
      <c r="C60" s="542">
        <f t="shared" si="29"/>
        <v>57529436</v>
      </c>
      <c r="D60" s="542">
        <f>SUM(F60:Q60)</f>
        <v>73777669</v>
      </c>
      <c r="E60" s="542" t="s">
        <v>272</v>
      </c>
      <c r="F60" s="542">
        <f>SUM(F52:F59)</f>
        <v>0</v>
      </c>
      <c r="G60" s="542">
        <f t="shared" ref="G60:H60" si="31">SUM(G52:G59)</f>
        <v>9560411</v>
      </c>
      <c r="H60" s="542">
        <f t="shared" si="31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F60" si="32">SUM(U52:U59)</f>
        <v>11853389</v>
      </c>
      <c r="V60" s="542">
        <f t="shared" si="32"/>
        <v>7975879</v>
      </c>
      <c r="W60" s="542">
        <f t="shared" si="32"/>
        <v>7051984</v>
      </c>
      <c r="X60" s="542">
        <f t="shared" si="32"/>
        <v>5286030</v>
      </c>
      <c r="Y60" s="542">
        <f t="shared" si="32"/>
        <v>2733897</v>
      </c>
      <c r="Z60" s="542">
        <f t="shared" si="32"/>
        <v>2096440</v>
      </c>
      <c r="AA60" s="542">
        <f t="shared" si="32"/>
        <v>1982316</v>
      </c>
      <c r="AB60" s="542">
        <f t="shared" si="32"/>
        <v>2300576</v>
      </c>
      <c r="AC60" s="542">
        <f t="shared" si="32"/>
        <v>2659390</v>
      </c>
      <c r="AD60" s="542">
        <f t="shared" si="32"/>
        <v>3938193</v>
      </c>
      <c r="AE60" s="542">
        <f t="shared" si="32"/>
        <v>9651342</v>
      </c>
      <c r="AF60" s="542">
        <f t="shared" si="32"/>
        <v>0</v>
      </c>
    </row>
    <row r="61" spans="1:33" ht="16" thickTop="1">
      <c r="A61" s="483"/>
      <c r="B61" s="481" t="s">
        <v>269</v>
      </c>
      <c r="C61" s="491">
        <f>SUM(U61:AF61)</f>
        <v>47878094</v>
      </c>
      <c r="D61" s="491">
        <f>SUM(F61:Q61)</f>
        <v>73777669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f>Mar!K44</f>
        <v>7051984</v>
      </c>
      <c r="X61" s="543">
        <v>5286030</v>
      </c>
      <c r="Y61" s="684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43"/>
    </row>
    <row r="62" spans="1:33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</row>
    <row r="63" spans="1:33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33">U63+1</f>
        <v>201502</v>
      </c>
      <c r="W63" s="484">
        <f t="shared" si="33"/>
        <v>201503</v>
      </c>
      <c r="X63" s="484">
        <f t="shared" si="33"/>
        <v>201504</v>
      </c>
      <c r="Y63" s="484">
        <f t="shared" si="33"/>
        <v>201505</v>
      </c>
      <c r="Z63" s="484">
        <f t="shared" si="33"/>
        <v>201506</v>
      </c>
      <c r="AA63" s="484">
        <f t="shared" si="33"/>
        <v>201507</v>
      </c>
      <c r="AB63" s="484">
        <f t="shared" si="33"/>
        <v>201508</v>
      </c>
      <c r="AC63" s="484">
        <f t="shared" si="33"/>
        <v>201509</v>
      </c>
      <c r="AD63" s="484">
        <f t="shared" si="33"/>
        <v>201510</v>
      </c>
      <c r="AE63" s="484">
        <f t="shared" si="33"/>
        <v>201511</v>
      </c>
      <c r="AF63" s="484">
        <f t="shared" si="33"/>
        <v>201512</v>
      </c>
    </row>
    <row r="64" spans="1:33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</row>
    <row r="65" spans="1:39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</row>
    <row r="66" spans="1:39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</row>
    <row r="67" spans="1:39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H67" s="707" t="s">
        <v>330</v>
      </c>
      <c r="AI67" s="708"/>
      <c r="AJ67" s="708"/>
      <c r="AK67" s="708"/>
      <c r="AL67" s="708"/>
      <c r="AM67" s="708"/>
    </row>
    <row r="68" spans="1:39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H68" s="708"/>
      <c r="AI68" s="708"/>
      <c r="AJ68" s="708"/>
      <c r="AK68" s="708"/>
      <c r="AL68" s="708"/>
      <c r="AM68" s="708"/>
    </row>
    <row r="69" spans="1:39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H69" s="708"/>
      <c r="AI69" s="708"/>
      <c r="AJ69" s="708"/>
      <c r="AK69" s="708"/>
      <c r="AL69" s="708"/>
      <c r="AM69" s="708"/>
    </row>
    <row r="70" spans="1:39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H70" s="708"/>
      <c r="AI70" s="708"/>
      <c r="AJ70" s="708"/>
      <c r="AK70" s="708"/>
      <c r="AL70" s="708"/>
      <c r="AM70" s="708"/>
    </row>
    <row r="71" spans="1:39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H71" s="708"/>
      <c r="AI71" s="708"/>
      <c r="AJ71" s="708"/>
      <c r="AK71" s="708"/>
      <c r="AL71" s="708"/>
      <c r="AM71" s="708"/>
    </row>
    <row r="72" spans="1:39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H72" s="708"/>
      <c r="AI72" s="708"/>
      <c r="AJ72" s="708"/>
      <c r="AK72" s="708"/>
      <c r="AL72" s="708"/>
      <c r="AM72" s="708"/>
    </row>
    <row r="73" spans="1:39" s="483" customFormat="1" ht="16" thickBot="1">
      <c r="A73" s="536">
        <v>191015</v>
      </c>
      <c r="B73" s="485" t="s">
        <v>256</v>
      </c>
      <c r="C73" s="486" t="s">
        <v>251</v>
      </c>
      <c r="D73" s="693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34">U73+1</f>
        <v>201502</v>
      </c>
      <c r="W73" s="484">
        <f t="shared" si="34"/>
        <v>201503</v>
      </c>
      <c r="X73" s="484">
        <f t="shared" si="34"/>
        <v>201504</v>
      </c>
      <c r="Y73" s="484">
        <f t="shared" si="34"/>
        <v>201505</v>
      </c>
      <c r="Z73" s="484">
        <f t="shared" si="34"/>
        <v>201506</v>
      </c>
      <c r="AA73" s="484">
        <f t="shared" si="34"/>
        <v>201507</v>
      </c>
      <c r="AB73" s="484">
        <f t="shared" si="34"/>
        <v>201508</v>
      </c>
      <c r="AC73" s="484">
        <f t="shared" si="34"/>
        <v>201509</v>
      </c>
      <c r="AD73" s="484">
        <f t="shared" si="34"/>
        <v>201510</v>
      </c>
      <c r="AE73" s="484">
        <f t="shared" si="34"/>
        <v>201511</v>
      </c>
      <c r="AF73" s="484">
        <f t="shared" si="34"/>
        <v>201512</v>
      </c>
      <c r="AH73" s="564" t="s">
        <v>330</v>
      </c>
      <c r="AI73" s="525"/>
      <c r="AJ73" s="482"/>
      <c r="AK73" s="482"/>
      <c r="AL73" s="482"/>
      <c r="AM73" s="482"/>
    </row>
    <row r="74" spans="1:39" s="483" customFormat="1" ht="16" thickBot="1">
      <c r="A74" s="484"/>
      <c r="B74" s="485" t="s">
        <v>257</v>
      </c>
      <c r="C74" s="486"/>
      <c r="D74" s="693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H74" s="513">
        <f>AH4</f>
        <v>201510</v>
      </c>
      <c r="AI74" s="526"/>
      <c r="AJ74" s="514"/>
      <c r="AK74" s="514"/>
      <c r="AL74" s="523"/>
      <c r="AM74" s="515"/>
    </row>
    <row r="75" spans="1:39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f>U79</f>
        <v>-11881.722960675279</v>
      </c>
      <c r="W75" s="482">
        <f t="shared" ref="W75:AF75" si="35">V79</f>
        <v>-11901.532960675278</v>
      </c>
      <c r="X75" s="482">
        <f t="shared" si="35"/>
        <v>-11911.450904809175</v>
      </c>
      <c r="Y75" s="482">
        <f t="shared" si="35"/>
        <v>-11921.377113896517</v>
      </c>
      <c r="Z75" s="482">
        <f t="shared" si="35"/>
        <v>-11931.311594824763</v>
      </c>
      <c r="AA75" s="482">
        <f t="shared" si="35"/>
        <v>-11941.254354487117</v>
      </c>
      <c r="AB75" s="482">
        <f t="shared" si="35"/>
        <v>-11951.205399782522</v>
      </c>
      <c r="AC75" s="482">
        <f t="shared" si="35"/>
        <v>-11961.164737615674</v>
      </c>
      <c r="AD75" s="482">
        <f t="shared" si="35"/>
        <v>-11971.132374897021</v>
      </c>
      <c r="AE75" s="482">
        <f t="shared" si="35"/>
        <v>-11981.108318542769</v>
      </c>
      <c r="AF75" s="482">
        <f t="shared" si="35"/>
        <v>-11991.092575474888</v>
      </c>
      <c r="AH75" s="497" t="s">
        <v>308</v>
      </c>
      <c r="AI75" s="527">
        <v>419600</v>
      </c>
      <c r="AJ75" s="498" t="s">
        <v>288</v>
      </c>
      <c r="AK75" s="498" t="s">
        <v>291</v>
      </c>
      <c r="AL75" s="470">
        <f>IF(SUMIF(U72:AF72,AH73,U76:AF76)&lt;0,-SUMIF(U72:AF72,AH73,U76:AF76),0)</f>
        <v>0</v>
      </c>
      <c r="AM75" s="520">
        <f>IF(SUMIF(U73:AF73,AH74,U77:AF77)&gt;0,SUMIF(U73:AF73,AH74,U77:AF77),0)</f>
        <v>0</v>
      </c>
    </row>
    <row r="76" spans="1:39">
      <c r="B76" s="481" t="s">
        <v>23</v>
      </c>
      <c r="C76" s="482">
        <f>SUM(U76:AF76)</f>
        <v>4.9799999978858978E-3</v>
      </c>
      <c r="D76" s="491">
        <f>SUM(F76:Q76)</f>
        <v>1181062.2835600001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36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H76" s="499" t="s">
        <v>309</v>
      </c>
      <c r="AI76" s="528">
        <v>431600</v>
      </c>
      <c r="AJ76" s="358" t="s">
        <v>288</v>
      </c>
      <c r="AK76" s="358" t="s">
        <v>291</v>
      </c>
      <c r="AL76" s="381">
        <f>IF(SUMIF(U73:AF73,AH74,U77:AF77)&lt;0,-SUMIF(U73:AF73,AH74,U77:AF77),0)</f>
        <v>9.9759436457475186</v>
      </c>
      <c r="AM76" s="500">
        <v>0</v>
      </c>
    </row>
    <row r="77" spans="1:39">
      <c r="B77" s="481" t="s">
        <v>4</v>
      </c>
      <c r="C77" s="482">
        <f t="shared" ref="C77:C78" si="37">SUM(U77:AF77)</f>
        <v>-109.46219194583813</v>
      </c>
      <c r="D77" s="491">
        <f>SUM(F77:Q77)</f>
        <v>-8150.2660220448734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f t="shared" ref="W77:AD77" si="38">((W75*(W74/12))+((W76/2)*(W74/12)))</f>
        <v>-9.9179441338960661</v>
      </c>
      <c r="X77" s="489">
        <f t="shared" si="38"/>
        <v>-9.926209087340979</v>
      </c>
      <c r="Y77" s="489">
        <f t="shared" si="38"/>
        <v>-9.9344809282470976</v>
      </c>
      <c r="Z77" s="489">
        <f t="shared" si="38"/>
        <v>-9.9427596623539696</v>
      </c>
      <c r="AA77" s="489">
        <f t="shared" si="38"/>
        <v>-9.9510452954059314</v>
      </c>
      <c r="AB77" s="489">
        <f t="shared" si="38"/>
        <v>-9.9593378331521034</v>
      </c>
      <c r="AC77" s="489">
        <f t="shared" si="38"/>
        <v>-9.9676372813463967</v>
      </c>
      <c r="AD77" s="489">
        <f t="shared" si="38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H77" s="499" t="s">
        <v>312</v>
      </c>
      <c r="AI77" s="528">
        <v>191015</v>
      </c>
      <c r="AJ77" s="358" t="s">
        <v>288</v>
      </c>
      <c r="AK77" s="358" t="s">
        <v>291</v>
      </c>
      <c r="AL77" s="381">
        <f>IF((SUMIF(U73:AF73,AH74,U76:AF76)+SUMIF(U73:AF73,AH74,U77:AF77))&gt;0,(SUMIF(U73:AF73,AH74,U76:AF76)+SUMIF(U73:AF73,AH74,U77:AF77)),0)</f>
        <v>0</v>
      </c>
      <c r="AM77" s="500">
        <f>IF((SUMIF(U73:AF73,AH74,U76:AF76)+SUMIF(U73:AF73,AH74,U77:AF77))&lt;0,-(SUMIF(U73:AF73,AH74,U76:AF76)+SUMIF(U73:AF73,AH74,U77:AF77)),0)</f>
        <v>9.9759436457475186</v>
      </c>
    </row>
    <row r="78" spans="1:39">
      <c r="B78" s="481" t="s">
        <v>148</v>
      </c>
      <c r="C78" s="482">
        <f t="shared" si="37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H78" s="499" t="s">
        <v>313</v>
      </c>
      <c r="AI78" s="528">
        <v>805111</v>
      </c>
      <c r="AJ78" s="358" t="s">
        <v>288</v>
      </c>
      <c r="AK78" s="358" t="s">
        <v>291</v>
      </c>
      <c r="AL78" s="381">
        <f>IF((SUMIF(U73:AF73,AH74,U76:AF76))&lt;0,-(SUMIF(U73:AF73,AH74,U76:AF76)),0)</f>
        <v>0</v>
      </c>
      <c r="AM78" s="500">
        <f>IF((SUMIF(U73:AF73,AH74,U76:AF76))&gt;0,(SUMIF(U73:AF73,AH74,U76:AF76)),0)</f>
        <v>0</v>
      </c>
    </row>
    <row r="79" spans="1:39" ht="16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F79" si="39">SUM(V75:V78)</f>
        <v>-11901.532960675278</v>
      </c>
      <c r="W79" s="541">
        <f t="shared" si="39"/>
        <v>-11911.450904809175</v>
      </c>
      <c r="X79" s="541">
        <f t="shared" si="39"/>
        <v>-11921.377113896517</v>
      </c>
      <c r="Y79" s="541">
        <f t="shared" si="39"/>
        <v>-11931.311594824763</v>
      </c>
      <c r="Z79" s="541">
        <f t="shared" si="39"/>
        <v>-11941.254354487117</v>
      </c>
      <c r="AA79" s="541">
        <f t="shared" si="39"/>
        <v>-11951.205399782522</v>
      </c>
      <c r="AB79" s="541">
        <f t="shared" si="39"/>
        <v>-11961.164737615674</v>
      </c>
      <c r="AC79" s="541">
        <f t="shared" si="39"/>
        <v>-11971.132374897021</v>
      </c>
      <c r="AD79" s="541">
        <f t="shared" si="39"/>
        <v>-11981.108318542769</v>
      </c>
      <c r="AE79" s="541">
        <f t="shared" si="39"/>
        <v>-11991.092575474888</v>
      </c>
      <c r="AF79" s="541">
        <f t="shared" si="39"/>
        <v>-12001.085152621117</v>
      </c>
      <c r="AH79" s="499" t="s">
        <v>332</v>
      </c>
      <c r="AI79" s="528">
        <v>191015</v>
      </c>
      <c r="AJ79" s="358" t="s">
        <v>288</v>
      </c>
      <c r="AK79" s="358" t="s">
        <v>291</v>
      </c>
      <c r="AL79" s="381">
        <v>0</v>
      </c>
      <c r="AM79" s="500">
        <v>0</v>
      </c>
    </row>
    <row r="80" spans="1:39" ht="16.5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 t="e">
        <f ca="1">_xll.Get_Balance(V73,"YTD","USD","Total","A","","001",$A$73,"GD","ID","DL")</f>
        <v>#NAME?</v>
      </c>
      <c r="W80" s="482" t="e">
        <f ca="1">_xll.Get_Balance(W73,"YTD","USD","Total","A","","001",$A$73,"GD","ID","DL")</f>
        <v>#NAME?</v>
      </c>
      <c r="X80" s="482" t="e">
        <f ca="1">_xll.Get_Balance(X73,"YTD","USD","Total","A","","001",$A$73,"GD","ID","DL")</f>
        <v>#NAME?</v>
      </c>
      <c r="Y80" s="482" t="e">
        <f ca="1">_xll.Get_Balance(Y73,"YTD","USD","Total","A","","001",$A$73,"GD","ID","DL")</f>
        <v>#NAME?</v>
      </c>
      <c r="Z80" s="482" t="e">
        <f ca="1">_xll.Get_Balance(Z73,"YTD","USD","Total","A","","001",$A$73,"GD","ID","DL")</f>
        <v>#NAME?</v>
      </c>
      <c r="AA80" s="482" t="e">
        <f ca="1">_xll.Get_Balance(AA73,"YTD","USD","Total","A","","001",$A$73,"GD","ID","DL")</f>
        <v>#NAME?</v>
      </c>
      <c r="AB80" s="482" t="e">
        <f ca="1">_xll.Get_Balance(AB73,"YTD","USD","Total","A","","001",$A$73,"GD","ID","DL")</f>
        <v>#NAME?</v>
      </c>
      <c r="AC80" s="482" t="e">
        <f ca="1">_xll.Get_Balance(AC73,"YTD","USD","Total","A","","001",$A$73,"GD","ID","DL")</f>
        <v>#NAME?</v>
      </c>
      <c r="AD80" s="482" t="e">
        <f ca="1">_xll.Get_Balance(AD73,"YTD","USD","Total","A","","001",$A$73,"GD","ID","DL")</f>
        <v>#NAME?</v>
      </c>
      <c r="AE80" s="482" t="e">
        <f ca="1">_xll.Get_Balance(AE73,"YTD","USD","Total","A","","001",$A$73,"GD","ID","DL")</f>
        <v>#NAME?</v>
      </c>
      <c r="AF80" s="482" t="e">
        <f ca="1">_xll.Get_Balance(AF73,"YTD","USD","Total","A","","001",$A$73,"GD","ID","DL")</f>
        <v>#NAME?</v>
      </c>
      <c r="AH80" s="501" t="s">
        <v>332</v>
      </c>
      <c r="AI80" s="529">
        <v>431600</v>
      </c>
      <c r="AJ80" s="502" t="s">
        <v>288</v>
      </c>
      <c r="AK80" s="502" t="s">
        <v>291</v>
      </c>
      <c r="AL80" s="464">
        <v>0</v>
      </c>
      <c r="AM80" s="521">
        <v>0</v>
      </c>
    </row>
    <row r="81" spans="2:41" ht="16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 t="e">
        <f t="shared" ref="V81:AF81" ca="1" si="40">V79-V80</f>
        <v>#NAME?</v>
      </c>
      <c r="W81" s="482" t="e">
        <f t="shared" ca="1" si="40"/>
        <v>#NAME?</v>
      </c>
      <c r="X81" s="482" t="e">
        <f t="shared" ca="1" si="40"/>
        <v>#NAME?</v>
      </c>
      <c r="Y81" s="482" t="e">
        <f t="shared" ca="1" si="40"/>
        <v>#NAME?</v>
      </c>
      <c r="Z81" s="482" t="e">
        <f t="shared" ca="1" si="40"/>
        <v>#NAME?</v>
      </c>
      <c r="AA81" s="482" t="e">
        <f t="shared" ca="1" si="40"/>
        <v>#NAME?</v>
      </c>
      <c r="AB81" s="482" t="e">
        <f t="shared" ca="1" si="40"/>
        <v>#NAME?</v>
      </c>
      <c r="AC81" s="482" t="e">
        <f t="shared" ca="1" si="40"/>
        <v>#NAME?</v>
      </c>
      <c r="AD81" s="482" t="e">
        <f t="shared" ca="1" si="40"/>
        <v>#NAME?</v>
      </c>
      <c r="AE81" s="482" t="e">
        <f t="shared" ca="1" si="40"/>
        <v>#NAME?</v>
      </c>
      <c r="AF81" s="482" t="e">
        <f t="shared" ca="1" si="40"/>
        <v>#NAME?</v>
      </c>
      <c r="AH81" s="516"/>
      <c r="AI81" s="530"/>
      <c r="AJ81" s="517"/>
      <c r="AK81" s="517"/>
      <c r="AL81" s="517" t="s">
        <v>159</v>
      </c>
      <c r="AM81" s="518">
        <f>SUM(AL75:AL80)-SUM(AM75:AM80)</f>
        <v>0</v>
      </c>
    </row>
    <row r="84" spans="2:41">
      <c r="X84" s="576"/>
      <c r="Y84" s="576"/>
      <c r="Z84" s="576"/>
      <c r="AA84" s="576"/>
      <c r="AB84" s="576"/>
      <c r="AC84" s="576"/>
      <c r="AD84" s="576"/>
      <c r="AE84" s="576"/>
      <c r="AF84" s="576"/>
      <c r="AG84" s="576"/>
      <c r="AH84" s="709"/>
      <c r="AI84" s="710"/>
      <c r="AJ84" s="710"/>
      <c r="AK84" s="710"/>
      <c r="AL84" s="710"/>
      <c r="AM84" s="710"/>
      <c r="AN84" s="576"/>
      <c r="AO84" s="576"/>
    </row>
    <row r="85" spans="2:41">
      <c r="X85" s="576"/>
      <c r="Y85" s="576"/>
      <c r="Z85" s="576"/>
      <c r="AA85" s="576"/>
      <c r="AB85" s="576"/>
      <c r="AC85" s="576"/>
      <c r="AD85" s="576"/>
      <c r="AE85" s="576"/>
      <c r="AF85" s="576"/>
      <c r="AG85" s="576"/>
      <c r="AH85" s="710"/>
      <c r="AI85" s="710"/>
      <c r="AJ85" s="710"/>
      <c r="AK85" s="710"/>
      <c r="AL85" s="710"/>
      <c r="AM85" s="710"/>
      <c r="AN85" s="576"/>
      <c r="AO85" s="576"/>
    </row>
    <row r="86" spans="2:41">
      <c r="X86" s="576"/>
      <c r="Y86" s="576"/>
      <c r="Z86" s="576"/>
      <c r="AA86" s="576"/>
      <c r="AB86" s="576"/>
      <c r="AC86" s="576"/>
      <c r="AD86" s="576"/>
      <c r="AE86" s="576"/>
      <c r="AF86" s="576"/>
      <c r="AG86" s="576"/>
      <c r="AH86" s="710"/>
      <c r="AI86" s="710"/>
      <c r="AJ86" s="710"/>
      <c r="AK86" s="710"/>
      <c r="AL86" s="710"/>
      <c r="AM86" s="710"/>
      <c r="AN86" s="576"/>
      <c r="AO86" s="576"/>
    </row>
    <row r="87" spans="2:41">
      <c r="X87" s="576"/>
      <c r="Y87" s="576"/>
      <c r="Z87" s="576"/>
      <c r="AA87" s="576"/>
      <c r="AB87" s="576"/>
      <c r="AC87" s="576"/>
      <c r="AD87" s="576"/>
      <c r="AE87" s="576"/>
      <c r="AF87" s="576"/>
      <c r="AG87" s="576"/>
      <c r="AH87" s="710"/>
      <c r="AI87" s="710"/>
      <c r="AJ87" s="710"/>
      <c r="AK87" s="710"/>
      <c r="AL87" s="710"/>
      <c r="AM87" s="710"/>
      <c r="AN87" s="576"/>
      <c r="AO87" s="576"/>
    </row>
    <row r="88" spans="2:41">
      <c r="X88" s="576"/>
      <c r="Y88" s="576"/>
      <c r="Z88" s="576"/>
      <c r="AA88" s="576"/>
      <c r="AB88" s="576"/>
      <c r="AC88" s="576"/>
      <c r="AD88" s="576"/>
      <c r="AE88" s="576"/>
      <c r="AF88" s="576"/>
      <c r="AG88" s="576"/>
      <c r="AH88" s="710"/>
      <c r="AI88" s="710"/>
      <c r="AJ88" s="710"/>
      <c r="AK88" s="710"/>
      <c r="AL88" s="710"/>
      <c r="AM88" s="710"/>
      <c r="AN88" s="576"/>
      <c r="AO88" s="576"/>
    </row>
    <row r="89" spans="2:41">
      <c r="X89" s="576"/>
      <c r="Y89" s="576"/>
      <c r="Z89" s="576"/>
      <c r="AA89" s="576"/>
      <c r="AB89" s="576"/>
      <c r="AC89" s="576"/>
      <c r="AD89" s="576"/>
      <c r="AE89" s="576"/>
      <c r="AF89" s="576"/>
      <c r="AG89" s="576"/>
      <c r="AH89" s="710"/>
      <c r="AI89" s="710"/>
      <c r="AJ89" s="710"/>
      <c r="AK89" s="710"/>
      <c r="AL89" s="710"/>
      <c r="AM89" s="710"/>
      <c r="AN89" s="576"/>
      <c r="AO89" s="576"/>
    </row>
    <row r="90" spans="2:41">
      <c r="X90" s="576"/>
      <c r="Y90" s="576"/>
      <c r="Z90" s="576"/>
      <c r="AA90" s="576"/>
      <c r="AB90" s="576"/>
      <c r="AC90" s="576"/>
      <c r="AD90" s="576"/>
      <c r="AE90" s="576"/>
      <c r="AF90" s="576"/>
      <c r="AG90" s="576"/>
      <c r="AH90" s="358"/>
      <c r="AI90" s="528"/>
      <c r="AJ90" s="358"/>
      <c r="AK90" s="358"/>
      <c r="AL90" s="576"/>
      <c r="AM90" s="576"/>
      <c r="AN90" s="576"/>
      <c r="AO90" s="576"/>
    </row>
    <row r="91" spans="2:41">
      <c r="M91" s="482">
        <v>13246436.58</v>
      </c>
      <c r="X91" s="576"/>
      <c r="Y91" s="576"/>
      <c r="Z91" s="576"/>
      <c r="AA91" s="576"/>
      <c r="AB91" s="576"/>
      <c r="AC91" s="576"/>
      <c r="AD91" s="576"/>
      <c r="AE91" s="576"/>
      <c r="AF91" s="576"/>
      <c r="AG91" s="576"/>
      <c r="AH91" s="7"/>
      <c r="AI91" s="209"/>
      <c r="AJ91" s="7"/>
      <c r="AK91" s="7"/>
      <c r="AL91" s="576"/>
      <c r="AM91" s="576"/>
      <c r="AN91" s="576"/>
      <c r="AO91" s="576"/>
    </row>
    <row r="92" spans="2:41">
      <c r="X92" s="576"/>
      <c r="Y92" s="576"/>
      <c r="Z92" s="576"/>
      <c r="AA92" s="576"/>
      <c r="AB92" s="576"/>
      <c r="AC92" s="576"/>
      <c r="AD92" s="576"/>
      <c r="AE92" s="576"/>
      <c r="AF92" s="576"/>
      <c r="AG92" s="576"/>
      <c r="AH92" s="358"/>
      <c r="AI92" s="528"/>
      <c r="AJ92" s="358"/>
      <c r="AK92" s="358"/>
      <c r="AL92" s="576"/>
      <c r="AM92" s="576"/>
      <c r="AN92" s="576"/>
      <c r="AO92" s="576"/>
    </row>
    <row r="93" spans="2:41">
      <c r="X93" s="576"/>
      <c r="Y93" s="576"/>
      <c r="Z93" s="576"/>
      <c r="AA93" s="576"/>
      <c r="AB93" s="576"/>
      <c r="AC93" s="576"/>
      <c r="AD93" s="576"/>
      <c r="AE93" s="576"/>
      <c r="AF93" s="576"/>
      <c r="AG93" s="576"/>
      <c r="AH93" s="576"/>
      <c r="AI93" s="603"/>
      <c r="AJ93" s="576"/>
      <c r="AK93" s="576"/>
      <c r="AL93" s="576"/>
      <c r="AM93" s="576"/>
      <c r="AN93" s="576"/>
      <c r="AO93" s="576"/>
    </row>
  </sheetData>
  <mergeCells count="3">
    <mergeCell ref="AH31:AL36"/>
    <mergeCell ref="AH67:AM72"/>
    <mergeCell ref="AH84:AM89"/>
  </mergeCells>
  <conditionalFormatting sqref="E28">
    <cfRule type="cellIs" dxfId="612" priority="26" operator="notEqual">
      <formula>E27</formula>
    </cfRule>
  </conditionalFormatting>
  <conditionalFormatting sqref="F28">
    <cfRule type="cellIs" dxfId="611" priority="25" operator="notEqual">
      <formula>F27</formula>
    </cfRule>
  </conditionalFormatting>
  <conditionalFormatting sqref="G28">
    <cfRule type="cellIs" dxfId="610" priority="24" operator="notEqual">
      <formula>G27</formula>
    </cfRule>
  </conditionalFormatting>
  <conditionalFormatting sqref="H28">
    <cfRule type="cellIs" dxfId="609" priority="23" operator="notEqual">
      <formula>H27</formula>
    </cfRule>
  </conditionalFormatting>
  <conditionalFormatting sqref="C28">
    <cfRule type="cellIs" dxfId="608" priority="22" operator="notEqual">
      <formula>C27</formula>
    </cfRule>
  </conditionalFormatting>
  <conditionalFormatting sqref="F61">
    <cfRule type="cellIs" dxfId="607" priority="21" operator="notEqual">
      <formula>F60</formula>
    </cfRule>
  </conditionalFormatting>
  <conditionalFormatting sqref="G61">
    <cfRule type="cellIs" dxfId="606" priority="20" operator="notEqual">
      <formula>G60</formula>
    </cfRule>
  </conditionalFormatting>
  <conditionalFormatting sqref="H61">
    <cfRule type="cellIs" dxfId="605" priority="19" operator="notEqual">
      <formula>H60</formula>
    </cfRule>
  </conditionalFormatting>
  <conditionalFormatting sqref="C61">
    <cfRule type="cellIs" dxfId="604" priority="18" operator="notEqual">
      <formula>C60</formula>
    </cfRule>
  </conditionalFormatting>
  <conditionalFormatting sqref="I61">
    <cfRule type="cellIs" dxfId="603" priority="17" operator="notEqual">
      <formula>I60</formula>
    </cfRule>
  </conditionalFormatting>
  <conditionalFormatting sqref="AM81 AM48 AM11">
    <cfRule type="cellIs" dxfId="602" priority="16" operator="notEqual">
      <formula>0</formula>
    </cfRule>
  </conditionalFormatting>
  <conditionalFormatting sqref="I28">
    <cfRule type="cellIs" dxfId="601" priority="15" operator="notEqual">
      <formula>I27</formula>
    </cfRule>
  </conditionalFormatting>
  <conditionalFormatting sqref="J28">
    <cfRule type="cellIs" dxfId="600" priority="14" operator="notEqual">
      <formula>J27</formula>
    </cfRule>
  </conditionalFormatting>
  <conditionalFormatting sqref="J61">
    <cfRule type="cellIs" dxfId="599" priority="13" operator="notEqual">
      <formula>J60</formula>
    </cfRule>
  </conditionalFormatting>
  <conditionalFormatting sqref="K28">
    <cfRule type="cellIs" dxfId="598" priority="12" operator="notEqual">
      <formula>K27</formula>
    </cfRule>
  </conditionalFormatting>
  <conditionalFormatting sqref="K61">
    <cfRule type="cellIs" dxfId="597" priority="11" operator="notEqual">
      <formula>K60</formula>
    </cfRule>
  </conditionalFormatting>
  <conditionalFormatting sqref="L28:M28">
    <cfRule type="cellIs" dxfId="596" priority="10" operator="notEqual">
      <formula>L27</formula>
    </cfRule>
  </conditionalFormatting>
  <conditionalFormatting sqref="N28">
    <cfRule type="cellIs" dxfId="595" priority="9" operator="notEqual">
      <formula>N27</formula>
    </cfRule>
  </conditionalFormatting>
  <conditionalFormatting sqref="U61">
    <cfRule type="cellIs" dxfId="594" priority="8" operator="notEqual">
      <formula>U60</formula>
    </cfRule>
  </conditionalFormatting>
  <conditionalFormatting sqref="U28:V28">
    <cfRule type="cellIs" dxfId="593" priority="7" operator="notEqual">
      <formula>U27</formula>
    </cfRule>
  </conditionalFormatting>
  <conditionalFormatting sqref="V28">
    <cfRule type="cellIs" dxfId="592" priority="6" operator="notEqual">
      <formula>V27</formula>
    </cfRule>
  </conditionalFormatting>
  <conditionalFormatting sqref="V61">
    <cfRule type="cellIs" dxfId="591" priority="5" operator="notEqual">
      <formula>V60</formula>
    </cfRule>
  </conditionalFormatting>
  <conditionalFormatting sqref="W28">
    <cfRule type="cellIs" dxfId="590" priority="4" operator="notEqual">
      <formula>W27</formula>
    </cfRule>
  </conditionalFormatting>
  <conditionalFormatting sqref="W61">
    <cfRule type="cellIs" dxfId="589" priority="3" operator="notEqual">
      <formula>W60</formula>
    </cfRule>
  </conditionalFormatting>
  <conditionalFormatting sqref="X28:Y28">
    <cfRule type="cellIs" dxfId="588" priority="2" operator="notEqual">
      <formula>X27</formula>
    </cfRule>
  </conditionalFormatting>
  <conditionalFormatting sqref="Z28">
    <cfRule type="cellIs" dxfId="587" priority="1" operator="notEqual">
      <formula>Z27</formula>
    </cfRule>
  </conditionalFormatting>
  <pageMargins left="0" right="0" top="0.75" bottom="0.75" header="0.3" footer="0.3"/>
  <pageSetup scale="37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pageSetUpPr fitToPage="1"/>
  </sheetPr>
  <dimension ref="A1:AM80"/>
  <sheetViews>
    <sheetView topLeftCell="S1" zoomScale="85" zoomScaleNormal="85" zoomScaleSheetLayoutView="85" workbookViewId="0">
      <selection activeCell="X12" sqref="X12"/>
    </sheetView>
  </sheetViews>
  <sheetFormatPr defaultColWidth="9.09765625" defaultRowHeight="15.5"/>
  <cols>
    <col min="1" max="1" width="17.296875" style="482" customWidth="1"/>
    <col min="2" max="2" width="18.69921875" style="481" bestFit="1" customWidth="1"/>
    <col min="3" max="3" width="16.09765625" style="482" customWidth="1"/>
    <col min="4" max="4" width="16.296875" style="482" customWidth="1"/>
    <col min="5" max="5" width="15.59765625" style="482" hidden="1" customWidth="1"/>
    <col min="6" max="6" width="18.296875" style="482" hidden="1" customWidth="1"/>
    <col min="7" max="7" width="16.296875" style="482" hidden="1" customWidth="1"/>
    <col min="8" max="9" width="19.8984375" style="482" hidden="1" customWidth="1"/>
    <col min="10" max="10" width="16.296875" style="482" hidden="1" customWidth="1"/>
    <col min="11" max="11" width="21.59765625" style="482" hidden="1" customWidth="1"/>
    <col min="12" max="18" width="16.296875" style="482" hidden="1" customWidth="1"/>
    <col min="19" max="20" width="16.296875" style="482" customWidth="1"/>
    <col min="21" max="21" width="19.8984375" style="482" customWidth="1"/>
    <col min="22" max="22" width="16.296875" style="482" customWidth="1"/>
    <col min="23" max="23" width="21.59765625" style="482" customWidth="1"/>
    <col min="24" max="29" width="16.296875" style="482" customWidth="1"/>
    <col min="30" max="32" width="16.296875" style="482" hidden="1" customWidth="1"/>
    <col min="33" max="33" width="11.69921875" style="482" customWidth="1"/>
    <col min="34" max="34" width="37.8984375" style="482" bestFit="1" customWidth="1"/>
    <col min="35" max="35" width="14.3984375" style="525" bestFit="1" customWidth="1"/>
    <col min="36" max="36" width="4.69921875" style="482" bestFit="1" customWidth="1"/>
    <col min="37" max="37" width="5" style="482" bestFit="1" customWidth="1"/>
    <col min="38" max="38" width="18.296875" style="482" customWidth="1"/>
    <col min="39" max="39" width="17.09765625" style="482" bestFit="1" customWidth="1"/>
    <col min="40" max="40" width="0.3984375" style="482" customWidth="1"/>
    <col min="41" max="16384" width="9.09765625" style="482"/>
  </cols>
  <sheetData>
    <row r="1" spans="1:39">
      <c r="A1" s="480" t="s">
        <v>265</v>
      </c>
      <c r="AH1" s="480" t="s">
        <v>315</v>
      </c>
    </row>
    <row r="2" spans="1:39">
      <c r="A2" s="483" t="s">
        <v>266</v>
      </c>
    </row>
    <row r="3" spans="1:39" s="483" customFormat="1" ht="31.5" thickBot="1">
      <c r="A3" s="484">
        <v>191010</v>
      </c>
      <c r="B3" s="485" t="s">
        <v>256</v>
      </c>
      <c r="C3" s="486" t="s">
        <v>251</v>
      </c>
      <c r="D3" s="689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 t="shared" ref="AF3" si="1">AE3+1</f>
        <v>201512</v>
      </c>
      <c r="AI3" s="484"/>
    </row>
    <row r="4" spans="1:39" s="483" customFormat="1" ht="16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H4" s="544">
        <v>201509</v>
      </c>
      <c r="AI4" s="526"/>
      <c r="AJ4" s="514"/>
      <c r="AK4" s="514"/>
      <c r="AL4" s="514"/>
      <c r="AM4" s="515"/>
    </row>
    <row r="5" spans="1:39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-1154882.2995837759</v>
      </c>
      <c r="W5" s="482">
        <f t="shared" ref="W5:AD5" si="2">V13</f>
        <v>-1883329.5456927749</v>
      </c>
      <c r="X5" s="482">
        <f t="shared" si="2"/>
        <v>-872806.43822777225</v>
      </c>
      <c r="Y5" s="482">
        <f t="shared" si="2"/>
        <v>-2959310.535139773</v>
      </c>
      <c r="Z5" s="482">
        <f t="shared" si="2"/>
        <v>-3131335.1133777718</v>
      </c>
      <c r="AA5" s="482">
        <f t="shared" si="2"/>
        <v>-3303665.3888877728</v>
      </c>
      <c r="AB5" s="482">
        <f t="shared" si="2"/>
        <v>-3655951.1713057715</v>
      </c>
      <c r="AC5" s="482">
        <f t="shared" si="2"/>
        <v>-3747278.07094577</v>
      </c>
      <c r="AD5" s="482">
        <f t="shared" si="2"/>
        <v>-4948357.8050077725</v>
      </c>
      <c r="AE5" s="482">
        <f>AD13</f>
        <v>-6093381.4883727729</v>
      </c>
      <c r="AF5" s="482">
        <f t="shared" ref="AF5" si="3">AE13</f>
        <v>-7722519.1945627714</v>
      </c>
      <c r="AH5" s="497" t="s">
        <v>294</v>
      </c>
      <c r="AI5" s="527">
        <v>419600</v>
      </c>
      <c r="AJ5" s="498" t="s">
        <v>288</v>
      </c>
      <c r="AK5" s="498" t="s">
        <v>289</v>
      </c>
      <c r="AL5" s="519">
        <v>0</v>
      </c>
      <c r="AM5" s="520">
        <f>IF(SUMIF(U3:AF3,AH4,U8:AF8)&gt;0,SUMIF(U3:AF3,AH4,U8:AF8),0)</f>
        <v>0</v>
      </c>
    </row>
    <row r="6" spans="1:39">
      <c r="B6" s="481" t="s">
        <v>254</v>
      </c>
      <c r="C6" s="482">
        <f>SUM(U6:AF6)</f>
        <v>-10042423.246235993</v>
      </c>
      <c r="D6" s="482">
        <f>-2523837.34+SUM(E6:N6,E9:T9)</f>
        <v>4.5212078839540482E-3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f>Feb!$H$53</f>
        <v>0</v>
      </c>
      <c r="W6" s="482">
        <f>Mar!$H$53</f>
        <v>1135107.4385570027</v>
      </c>
      <c r="X6" s="482">
        <f>Apr!$H$53</f>
        <v>-2310603.7085020011</v>
      </c>
      <c r="Y6" s="482">
        <f>May!$H$53</f>
        <v>-1026688.9535339989</v>
      </c>
      <c r="Z6" s="482">
        <f>Jun!$H$53</f>
        <v>-1511176.335440001</v>
      </c>
      <c r="AA6" s="482">
        <f>Jul!$H$53</f>
        <v>-1483614.197077998</v>
      </c>
      <c r="AB6" s="482">
        <f>Aug!$H$53</f>
        <v>-1288286.6270379988</v>
      </c>
      <c r="AC6" s="482">
        <f>Sep!$H$53</f>
        <v>-2088616.5970920017</v>
      </c>
      <c r="AD6" s="482">
        <f>Oct!$H$55</f>
        <v>-1862270.5500129997</v>
      </c>
      <c r="AE6" s="482">
        <f>Nov!$H$55</f>
        <v>-294955.25549999811</v>
      </c>
      <c r="AF6" s="482">
        <f>Dec!$H$53</f>
        <v>0</v>
      </c>
      <c r="AH6" s="499" t="s">
        <v>295</v>
      </c>
      <c r="AI6" s="528">
        <v>431600</v>
      </c>
      <c r="AJ6" s="358" t="s">
        <v>288</v>
      </c>
      <c r="AK6" s="358" t="s">
        <v>289</v>
      </c>
      <c r="AL6" s="381">
        <f>IF(SUMIF(U3:AF3,AH4,U8:AF8)&lt;0,-SUMIF(U3:AF3,AH4,U8:AF8),0)</f>
        <v>11759.42</v>
      </c>
      <c r="AM6" s="500">
        <v>0</v>
      </c>
    </row>
    <row r="7" spans="1:39">
      <c r="B7" s="481" t="s">
        <v>255</v>
      </c>
      <c r="C7" s="482">
        <f t="shared" ref="C7:C12" si="4">SUM(U7:AF7)</f>
        <v>2652361.2041769996</v>
      </c>
      <c r="D7" s="482">
        <f>5059705.37+SUM(E7:N7,E10:T10)</f>
        <v>-2.4999678134918213E-4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f>Feb!$I$53</f>
        <v>-724338.56610899908</v>
      </c>
      <c r="W7" s="482">
        <f>Mar!$I$53</f>
        <v>-120857.11109200004</v>
      </c>
      <c r="X7" s="482">
        <f>Apr!$I$53</f>
        <v>229663.83159000031</v>
      </c>
      <c r="Y7" s="482">
        <f>May!$I$53</f>
        <v>862900.97529599979</v>
      </c>
      <c r="Z7" s="482">
        <f>Jun!$I$53</f>
        <v>1347548.3399299998</v>
      </c>
      <c r="AA7" s="482">
        <f>Jul!$I$53</f>
        <v>1140740.15466</v>
      </c>
      <c r="AB7" s="482">
        <f>Aug!$I$53</f>
        <v>1206971.3773980001</v>
      </c>
      <c r="AC7" s="482">
        <f>Sep!$I$53</f>
        <v>899296.28302999982</v>
      </c>
      <c r="AD7" s="482">
        <f>Oct!$I$55</f>
        <v>732178.99664799974</v>
      </c>
      <c r="AE7" s="563">
        <f>Nov!$I$55</f>
        <v>-1315498.7206899999</v>
      </c>
      <c r="AF7" s="482">
        <f>Dec!$I$53</f>
        <v>0</v>
      </c>
      <c r="AH7" s="499" t="s">
        <v>296</v>
      </c>
      <c r="AI7" s="528">
        <v>191010</v>
      </c>
      <c r="AJ7" s="358" t="s">
        <v>288</v>
      </c>
      <c r="AK7" s="358" t="s">
        <v>289</v>
      </c>
      <c r="AL7" s="381">
        <f>IF((SUMIF(U3:AF3,AH4,U6:AF6)+SUMIF(U3:AF3,AH4,U7:AF7)+SUMIF(U3:AF3,AH4,U8:AF8))&gt;0,(SUMIF(U3:AF3,AH4,U6:AF6)+SUMIF(U3:AF3,AH4,U7:AF7)+SUMIF(U3:AF3,AH4,U8:AF8)),0)</f>
        <v>0</v>
      </c>
      <c r="AM7" s="500">
        <f>IF((SUMIF(U3:AF3,AH4,U6:AF6)+SUMIF(U3:AF3,AH4,U7:AF7)+SUMIF(U3:AF3,AH4,U8:AF8))&lt;0,-(SUMIF(U3:AF3,AH4,U6:AF6)+SUMIF(U3:AF3,AH4,U7:AF7)++SUMIF(U3:AF3,AH4,U8:AF8)),0)</f>
        <v>1201079.7340620018</v>
      </c>
    </row>
    <row r="8" spans="1:39">
      <c r="B8" s="481" t="s">
        <v>258</v>
      </c>
      <c r="C8" s="482">
        <f t="shared" si="4"/>
        <v>-117362.70999999999</v>
      </c>
      <c r="D8" s="482">
        <f>-38846.64+SUM(E8:N8,E11:T11)</f>
        <v>5.9999999990395736E-2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5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f>ROUND(((V5)*(V4/12))+((SUM(V6:V7)/2)*(V4/12)),2)</f>
        <v>-4108.68</v>
      </c>
      <c r="W8" s="489">
        <f t="shared" ref="W8:AC8" si="6">ROUND(((W5)*(W4/12))+((SUM(W6:W7)/2)*(W4/12)),2)</f>
        <v>-3727.22</v>
      </c>
      <c r="X8" s="489">
        <f>ROUND(((X5+X12)*(X4/12))+((SUM(X6:X7)/2)*(X4/12)),2)</f>
        <v>-5182.82</v>
      </c>
      <c r="Y8" s="489">
        <f t="shared" si="6"/>
        <v>-8236.6</v>
      </c>
      <c r="Z8" s="489">
        <f t="shared" si="6"/>
        <v>-8702.2800000000007</v>
      </c>
      <c r="AA8" s="489">
        <f t="shared" si="6"/>
        <v>-9411.74</v>
      </c>
      <c r="AB8" s="489">
        <f t="shared" si="6"/>
        <v>-10011.65</v>
      </c>
      <c r="AC8" s="489">
        <f t="shared" si="6"/>
        <v>-11759.42</v>
      </c>
      <c r="AD8" s="489">
        <f>ROUND(((AD5)*(AD4/12))+((SUM(AD6:AD7)/2)*(AD4/12)),2)</f>
        <v>-14932.13</v>
      </c>
      <c r="AE8" s="560">
        <f>ROUND(((AE5+AE9+AE10+AE11)*(AE4/12))+((SUM(AE6:AE7)/2)*(AE4/12)),2)</f>
        <v>-18683.73</v>
      </c>
      <c r="AF8" s="489">
        <f>ROUND(((AF5)*(AF4/12))+((SUM(AF6:AF7)/2)*(AF4/12)),2)</f>
        <v>-20915.16</v>
      </c>
      <c r="AH8" s="499" t="s">
        <v>297</v>
      </c>
      <c r="AI8" s="528">
        <v>805120</v>
      </c>
      <c r="AJ8" s="358" t="s">
        <v>288</v>
      </c>
      <c r="AK8" s="358" t="s">
        <v>289</v>
      </c>
      <c r="AL8" s="381">
        <f>IF((SUMIF(U3:AF3,AH4,U6:AF6)+SUMIF(U3:AF3,AH4,U7:AF7))&lt;0,-(SUMIF(U3:AF3,AH4,U6:AF6)+SUMIF(U3:AF3,AH4,U7:AF7)),0)</f>
        <v>1189320.3140620019</v>
      </c>
      <c r="AM8" s="500">
        <f>IF((SUMIF(U3:AF3,AH4,U6:AF6)+SUMIF(U3:AF3,AH4,U7:AF7))&gt;0,(SUMIF(U3:AF3,AH4,U6:AF6)+SUMIF(U3:AF3,AH4,U7:AF7)),0)</f>
        <v>0</v>
      </c>
    </row>
    <row r="9" spans="1:39">
      <c r="B9" s="481" t="s">
        <v>262</v>
      </c>
      <c r="C9" s="482">
        <f t="shared" si="4"/>
        <v>-69937.37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63">
        <v>0</v>
      </c>
      <c r="AF9" s="482">
        <v>0</v>
      </c>
      <c r="AH9" s="499" t="s">
        <v>11</v>
      </c>
      <c r="AI9" s="528">
        <v>191010</v>
      </c>
      <c r="AJ9" s="358" t="s">
        <v>288</v>
      </c>
      <c r="AK9" s="358" t="s">
        <v>289</v>
      </c>
      <c r="AL9" s="381">
        <v>0</v>
      </c>
      <c r="AM9" s="500">
        <v>0</v>
      </c>
    </row>
    <row r="10" spans="1:39" ht="16" thickBot="1">
      <c r="B10" s="481" t="s">
        <v>263</v>
      </c>
      <c r="C10" s="482">
        <f t="shared" si="4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63">
        <v>0</v>
      </c>
      <c r="AF10" s="482">
        <v>0</v>
      </c>
      <c r="AH10" s="501" t="str">
        <f>AH9</f>
        <v>Tracker Transfer</v>
      </c>
      <c r="AI10" s="529">
        <f>AI41</f>
        <v>191000</v>
      </c>
      <c r="AJ10" s="529" t="str">
        <f>AJ41</f>
        <v>GD</v>
      </c>
      <c r="AK10" s="529" t="str">
        <f>AK41</f>
        <v>WA</v>
      </c>
      <c r="AL10" s="503">
        <v>0</v>
      </c>
      <c r="AM10" s="521">
        <f>AL9</f>
        <v>0</v>
      </c>
    </row>
    <row r="11" spans="1:39" ht="16" thickBot="1">
      <c r="B11" s="481" t="s">
        <v>264</v>
      </c>
      <c r="C11" s="482">
        <f t="shared" si="4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63">
        <v>0</v>
      </c>
      <c r="AF11" s="482">
        <v>0</v>
      </c>
      <c r="AH11" s="516"/>
      <c r="AI11" s="530"/>
      <c r="AJ11" s="517"/>
      <c r="AK11" s="517"/>
      <c r="AL11" s="517" t="s">
        <v>159</v>
      </c>
      <c r="AM11" s="518">
        <f>SUM(AL5:AL10)-SUM(AM5:AM10)</f>
        <v>0</v>
      </c>
    </row>
    <row r="12" spans="1:39">
      <c r="B12" s="481" t="s">
        <v>148</v>
      </c>
      <c r="C12" s="482">
        <f t="shared" si="4"/>
        <v>-381.4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</row>
    <row r="13" spans="1:39" ht="16" thickBot="1">
      <c r="B13" s="481" t="s">
        <v>56</v>
      </c>
      <c r="C13" s="541">
        <f>SUM(C5:C12)</f>
        <v>-7577743.5220589936</v>
      </c>
      <c r="D13" s="541"/>
      <c r="E13" s="541">
        <f>SUM(E5:E12)</f>
        <v>2712780.2600000002</v>
      </c>
      <c r="F13" s="541">
        <f t="shared" ref="F13:H13" si="7">SUM(F5:F12)</f>
        <v>2255013.9900000002</v>
      </c>
      <c r="G13" s="541">
        <f>SUM(G5:G12)</f>
        <v>-33498.738666789999</v>
      </c>
      <c r="H13" s="541">
        <f t="shared" si="7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8">SUM(V5:V12)</f>
        <v>-1883329.5456927749</v>
      </c>
      <c r="W13" s="541">
        <f t="shared" si="8"/>
        <v>-872806.43822777225</v>
      </c>
      <c r="X13" s="541">
        <f t="shared" si="8"/>
        <v>-2959310.535139773</v>
      </c>
      <c r="Y13" s="541">
        <f>SUM(Y5:Y12)</f>
        <v>-3131335.1133777718</v>
      </c>
      <c r="Z13" s="541">
        <f t="shared" ref="Z13:AF13" si="9">SUM(Z5:Z12)</f>
        <v>-3303665.3888877728</v>
      </c>
      <c r="AA13" s="541">
        <f t="shared" si="9"/>
        <v>-3655951.1713057715</v>
      </c>
      <c r="AB13" s="541">
        <f t="shared" si="9"/>
        <v>-3747278.07094577</v>
      </c>
      <c r="AC13" s="541">
        <f t="shared" si="9"/>
        <v>-4948357.8050077725</v>
      </c>
      <c r="AD13" s="541">
        <f t="shared" si="9"/>
        <v>-6093381.4883727729</v>
      </c>
      <c r="AE13" s="541">
        <f t="shared" si="9"/>
        <v>-7722519.1945627714</v>
      </c>
      <c r="AF13" s="541">
        <f t="shared" si="9"/>
        <v>-7743434.3545627715</v>
      </c>
    </row>
    <row r="14" spans="1:39" ht="16" thickTop="1">
      <c r="B14" s="481" t="s">
        <v>260</v>
      </c>
      <c r="E14" s="482" t="e">
        <f ca="1">_xll.Get_Balance(E3,"YTD","USD","Total","A","","001",$A$3,"GD","WA","DL")</f>
        <v>#NAME?</v>
      </c>
      <c r="F14" s="482" t="e">
        <f ca="1">_xll.Get_Balance(F3,"YTD","USD","Total","A","","001",$A$3,"GD","WA","DL")</f>
        <v>#NAME?</v>
      </c>
      <c r="G14" s="482" t="e">
        <f ca="1">_xll.Get_Balance(G3,"YTD","USD","Total","A","","001",$A$3,"GD","WA","DL")</f>
        <v>#NAME?</v>
      </c>
      <c r="H14" s="482" t="e">
        <f ca="1">_xll.Get_Balance(H3,"YTD","USD","Total","A","","001",$A$3,"GD","WA","DL")</f>
        <v>#NAME?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 t="e">
        <f ca="1">_xll.Get_Balance(V3,"YTD","USD","Total","A","","001",$A$3,"GD","WA","DL")</f>
        <v>#NAME?</v>
      </c>
      <c r="W14" s="482" t="e">
        <f ca="1">_xll.Get_Balance(W3,"YTD","USD","Total","A","","001",$A$3,"GD","WA","DL")</f>
        <v>#NAME?</v>
      </c>
      <c r="X14" s="482" t="e">
        <f ca="1">_xll.Get_Balance(X3,"YTD","USD","Total","A","","001",$A$3,"GD","WA","DL")</f>
        <v>#NAME?</v>
      </c>
      <c r="Y14" s="482" t="e">
        <f ca="1">_xll.Get_Balance(Y3,"YTD","USD","Total","A","","001",$A$3,"GD","WA","DL")</f>
        <v>#NAME?</v>
      </c>
      <c r="Z14" s="482" t="e">
        <f ca="1">_xll.Get_Balance(Z3,"YTD","USD","Total","A","","001",$A$3,"GD","WA","DL")</f>
        <v>#NAME?</v>
      </c>
      <c r="AA14" s="482" t="e">
        <f ca="1">_xll.Get_Balance(AA3,"YTD","USD","Total","A","","001",$A$3,"GD","WA","DL")</f>
        <v>#NAME?</v>
      </c>
      <c r="AB14" s="482" t="e">
        <f ca="1">_xll.Get_Balance(AB3,"YTD","USD","Total","A","","001",$A$3,"GD","WA","DL")</f>
        <v>#NAME?</v>
      </c>
      <c r="AC14" s="482" t="e">
        <f ca="1">_xll.Get_Balance(AC3,"YTD","USD","Total","A","","001",$A$3,"GD","WA","DL")</f>
        <v>#NAME?</v>
      </c>
      <c r="AD14" s="482" t="e">
        <f ca="1">_xll.Get_Balance(AD3,"YTD","USD","Total","A","","001",$A$3,"GD","WA","DL")</f>
        <v>#NAME?</v>
      </c>
      <c r="AE14" s="482" t="e">
        <f ca="1">_xll.Get_Balance(AE3,"YTD","USD","Total","A","","001",$A$3,"GD","WA","DL")</f>
        <v>#NAME?</v>
      </c>
      <c r="AF14" s="482" t="e">
        <f ca="1">_xll.Get_Balance(AF3,"YTD","USD","Total","A","","001",$A$3,"GD","WA","DL")</f>
        <v>#NAME?</v>
      </c>
    </row>
    <row r="15" spans="1:39">
      <c r="B15" s="481" t="s">
        <v>245</v>
      </c>
      <c r="E15" s="482" t="e">
        <f t="shared" ref="E15:H15" ca="1" si="10">E13-E14</f>
        <v>#NAME?</v>
      </c>
      <c r="F15" s="482" t="e">
        <f t="shared" ca="1" si="10"/>
        <v>#NAME?</v>
      </c>
      <c r="G15" s="482" t="e">
        <f t="shared" ca="1" si="10"/>
        <v>#NAME?</v>
      </c>
      <c r="H15" s="482" t="e">
        <f t="shared" ca="1" si="10"/>
        <v>#NAME?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 t="e">
        <f t="shared" ref="V15:AF15" ca="1" si="11">V13-V14</f>
        <v>#NAME?</v>
      </c>
      <c r="W15" s="482" t="e">
        <f t="shared" ca="1" si="11"/>
        <v>#NAME?</v>
      </c>
      <c r="X15" s="482" t="e">
        <f t="shared" ca="1" si="11"/>
        <v>#NAME?</v>
      </c>
      <c r="Y15" s="482" t="e">
        <f t="shared" ca="1" si="11"/>
        <v>#NAME?</v>
      </c>
      <c r="Z15" s="482" t="e">
        <f t="shared" ca="1" si="11"/>
        <v>#NAME?</v>
      </c>
      <c r="AA15" s="482" t="e">
        <f t="shared" ca="1" si="11"/>
        <v>#NAME?</v>
      </c>
      <c r="AB15" s="482" t="e">
        <f t="shared" ca="1" si="11"/>
        <v>#NAME?</v>
      </c>
      <c r="AC15" s="482" t="e">
        <f t="shared" ca="1" si="11"/>
        <v>#NAME?</v>
      </c>
      <c r="AD15" s="482" t="e">
        <f t="shared" ca="1" si="11"/>
        <v>#NAME?</v>
      </c>
      <c r="AE15" s="482" t="e">
        <f t="shared" ca="1" si="11"/>
        <v>#NAME?</v>
      </c>
      <c r="AF15" s="482" t="e">
        <f t="shared" ca="1" si="11"/>
        <v>#NAME?</v>
      </c>
    </row>
    <row r="16" spans="1:39">
      <c r="A16" s="483" t="s">
        <v>268</v>
      </c>
    </row>
    <row r="17" spans="1:33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</row>
    <row r="18" spans="1:33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</row>
    <row r="19" spans="1:33">
      <c r="A19" s="483"/>
      <c r="B19" s="481" t="s">
        <v>37</v>
      </c>
      <c r="C19" s="491">
        <f>SUM(U19:AF19)</f>
        <v>83964548</v>
      </c>
      <c r="D19" s="491">
        <f t="shared" ref="D19:D28" si="14">SUM(G19:R19)</f>
        <v>118507804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f>Feb!$G23</f>
        <v>13011547</v>
      </c>
      <c r="W19" s="543">
        <f>Mar!$G23</f>
        <v>10479005</v>
      </c>
      <c r="X19" s="543">
        <f>Apr!$G23</f>
        <v>7714478</v>
      </c>
      <c r="Y19" s="543">
        <f>May!$G23</f>
        <v>3297360</v>
      </c>
      <c r="Z19" s="543">
        <f>Jun!$G23</f>
        <v>1968489</v>
      </c>
      <c r="AA19" s="543">
        <f>Jul!$G23</f>
        <v>2145139</v>
      </c>
      <c r="AB19" s="543">
        <f>Aug!$G23</f>
        <v>1956853</v>
      </c>
      <c r="AC19" s="543">
        <f>Sep!$G23</f>
        <v>3273457</v>
      </c>
      <c r="AD19" s="543">
        <f>Oct!$G23</f>
        <v>4833518</v>
      </c>
      <c r="AE19" s="543">
        <f>Nov!$G23</f>
        <v>15375028</v>
      </c>
      <c r="AF19" s="543">
        <f>Dec!$G23</f>
        <v>0</v>
      </c>
    </row>
    <row r="20" spans="1:33">
      <c r="A20" s="483"/>
      <c r="B20" s="481" t="s">
        <v>38</v>
      </c>
      <c r="C20" s="491">
        <f t="shared" ref="C20:C27" si="15">SUM(U20:AF20)</f>
        <v>35336899</v>
      </c>
      <c r="D20" s="491">
        <f t="shared" si="14"/>
        <v>47081391</v>
      </c>
      <c r="E20" s="491">
        <v>1599551</v>
      </c>
      <c r="F20" s="491">
        <v>3880001</v>
      </c>
      <c r="G20" s="491">
        <v>5651303</v>
      </c>
      <c r="H20" s="491">
        <v>7518125</v>
      </c>
      <c r="I20" s="543">
        <v>7025543</v>
      </c>
      <c r="J20" s="543">
        <v>6903553</v>
      </c>
      <c r="K20" s="543">
        <v>5310734</v>
      </c>
      <c r="L20" s="543">
        <v>3390429</v>
      </c>
      <c r="M20" s="543">
        <v>2183609</v>
      </c>
      <c r="N20" s="543">
        <v>1741655</v>
      </c>
      <c r="O20" s="543">
        <v>1476567</v>
      </c>
      <c r="P20" s="543">
        <v>1364087</v>
      </c>
      <c r="Q20" s="543">
        <v>1739755</v>
      </c>
      <c r="R20" s="543">
        <v>2776031</v>
      </c>
      <c r="S20" s="543">
        <v>6141604</v>
      </c>
      <c r="T20" s="543">
        <v>6045485</v>
      </c>
      <c r="U20" s="543">
        <v>6173752</v>
      </c>
      <c r="V20" s="543">
        <f>Feb!$G24</f>
        <v>5630395</v>
      </c>
      <c r="W20" s="543">
        <f>Mar!$G24</f>
        <v>4030672</v>
      </c>
      <c r="X20" s="543">
        <f>Apr!$G24</f>
        <v>3448422</v>
      </c>
      <c r="Y20" s="543">
        <f>May!$G24</f>
        <v>1901440</v>
      </c>
      <c r="Z20" s="543">
        <f>Jun!$G24</f>
        <v>1561904</v>
      </c>
      <c r="AA20" s="543">
        <f>Jul!$G24</f>
        <v>1323231</v>
      </c>
      <c r="AB20" s="543">
        <f>Aug!$G24</f>
        <v>1284422</v>
      </c>
      <c r="AC20" s="543">
        <f>Sep!$G24</f>
        <v>1854848</v>
      </c>
      <c r="AD20" s="543">
        <f>Oct!$G25</f>
        <v>2624293</v>
      </c>
      <c r="AE20" s="543">
        <f>Nov!$G25</f>
        <v>5503520</v>
      </c>
      <c r="AF20" s="543">
        <f>Dec!$G24</f>
        <v>0</v>
      </c>
    </row>
    <row r="21" spans="1:33" hidden="1">
      <c r="A21" s="483"/>
      <c r="B21" s="481" t="s">
        <v>39</v>
      </c>
      <c r="C21" s="491">
        <f t="shared" si="15"/>
        <v>0</v>
      </c>
      <c r="D21" s="491">
        <f t="shared" si="14"/>
        <v>0</v>
      </c>
      <c r="E21" s="491">
        <v>0</v>
      </c>
      <c r="F21" s="491">
        <v>0</v>
      </c>
      <c r="G21" s="491">
        <v>0</v>
      </c>
      <c r="H21" s="491">
        <v>0</v>
      </c>
      <c r="I21" s="543"/>
      <c r="J21" s="543"/>
      <c r="K21" s="543"/>
      <c r="L21" s="543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3"/>
      <c r="AF21" s="543"/>
    </row>
    <row r="22" spans="1:33">
      <c r="A22" s="483"/>
      <c r="B22" s="481" t="s">
        <v>40</v>
      </c>
      <c r="C22" s="491">
        <f t="shared" si="15"/>
        <v>4051936</v>
      </c>
      <c r="D22" s="491">
        <f t="shared" si="14"/>
        <v>4993299</v>
      </c>
      <c r="E22" s="491">
        <v>344046</v>
      </c>
      <c r="F22" s="491">
        <v>595792</v>
      </c>
      <c r="G22" s="491">
        <v>396185</v>
      </c>
      <c r="H22" s="491">
        <v>588721</v>
      </c>
      <c r="I22" s="543">
        <v>534459</v>
      </c>
      <c r="J22" s="543">
        <v>540817</v>
      </c>
      <c r="K22" s="543">
        <v>425342</v>
      </c>
      <c r="L22" s="543">
        <v>407197</v>
      </c>
      <c r="M22" s="543">
        <v>340947</v>
      </c>
      <c r="N22" s="543">
        <v>361843</v>
      </c>
      <c r="O22" s="543">
        <v>251184</v>
      </c>
      <c r="P22" s="543">
        <v>332621</v>
      </c>
      <c r="Q22" s="543">
        <v>330926</v>
      </c>
      <c r="R22" s="543">
        <v>483057</v>
      </c>
      <c r="S22" s="543">
        <v>518418</v>
      </c>
      <c r="T22" s="543">
        <v>377457</v>
      </c>
      <c r="U22" s="543">
        <v>513680</v>
      </c>
      <c r="V22" s="543">
        <f>Feb!$G26</f>
        <v>431734</v>
      </c>
      <c r="W22" s="543">
        <f>Mar!$G26</f>
        <v>335852</v>
      </c>
      <c r="X22" s="543">
        <f>Apr!$G26</f>
        <v>432834</v>
      </c>
      <c r="Y22" s="543">
        <f>May!$G26</f>
        <v>249954</v>
      </c>
      <c r="Z22" s="543">
        <f>Jun!$G26</f>
        <v>322862</v>
      </c>
      <c r="AA22" s="543">
        <f>Jul!$G26</f>
        <v>247078</v>
      </c>
      <c r="AB22" s="543">
        <f>Aug!$G26</f>
        <v>274690</v>
      </c>
      <c r="AC22" s="543">
        <f>Sep!$G26</f>
        <v>336073</v>
      </c>
      <c r="AD22" s="543">
        <f>Oct!$G27</f>
        <v>365802</v>
      </c>
      <c r="AE22" s="543">
        <f>Nov!$G27</f>
        <v>541377</v>
      </c>
      <c r="AF22" s="543">
        <f>Dec!$G26</f>
        <v>0</v>
      </c>
    </row>
    <row r="23" spans="1:33" hidden="1">
      <c r="A23" s="483"/>
      <c r="B23" s="481" t="s">
        <v>41</v>
      </c>
      <c r="C23" s="491">
        <f t="shared" si="15"/>
        <v>0</v>
      </c>
      <c r="D23" s="491">
        <f t="shared" si="14"/>
        <v>0</v>
      </c>
      <c r="E23" s="491">
        <v>0</v>
      </c>
      <c r="F23" s="491">
        <v>0</v>
      </c>
      <c r="G23" s="491">
        <v>0</v>
      </c>
      <c r="H23" s="491">
        <v>0</v>
      </c>
      <c r="I23" s="543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3"/>
      <c r="AC23" s="543"/>
      <c r="AD23" s="543"/>
      <c r="AE23" s="543"/>
      <c r="AF23" s="543"/>
    </row>
    <row r="24" spans="1:33">
      <c r="A24" s="483"/>
      <c r="B24" s="481" t="s">
        <v>42</v>
      </c>
      <c r="C24" s="491">
        <f t="shared" si="15"/>
        <v>0</v>
      </c>
      <c r="D24" s="491">
        <f t="shared" si="14"/>
        <v>0</v>
      </c>
      <c r="E24" s="491">
        <v>0</v>
      </c>
      <c r="F24" s="491">
        <v>0</v>
      </c>
      <c r="G24" s="491">
        <v>0</v>
      </c>
      <c r="H24" s="491">
        <v>0</v>
      </c>
      <c r="I24" s="543">
        <v>0</v>
      </c>
      <c r="J24" s="543">
        <v>0</v>
      </c>
      <c r="K24" s="543">
        <v>0</v>
      </c>
      <c r="L24" s="543">
        <v>0</v>
      </c>
      <c r="M24" s="543">
        <v>0</v>
      </c>
      <c r="N24" s="543">
        <v>0</v>
      </c>
      <c r="O24" s="543">
        <v>0</v>
      </c>
      <c r="P24" s="543">
        <v>0</v>
      </c>
      <c r="Q24" s="543">
        <v>0</v>
      </c>
      <c r="R24" s="543">
        <v>0</v>
      </c>
      <c r="S24" s="543">
        <v>0</v>
      </c>
      <c r="T24" s="543">
        <v>0</v>
      </c>
      <c r="U24" s="543">
        <v>0</v>
      </c>
      <c r="V24" s="543">
        <f>Feb!$G28</f>
        <v>0</v>
      </c>
      <c r="W24" s="543">
        <f>Mar!$G28</f>
        <v>0</v>
      </c>
      <c r="X24" s="543">
        <f>Apr!$G28</f>
        <v>0</v>
      </c>
      <c r="Y24" s="543">
        <f>May!$G28</f>
        <v>0</v>
      </c>
      <c r="Z24" s="543">
        <f>Jun!$G28</f>
        <v>0</v>
      </c>
      <c r="AA24" s="543">
        <f>Jul!$G28</f>
        <v>0</v>
      </c>
      <c r="AB24" s="543">
        <f>Aug!$G28</f>
        <v>0</v>
      </c>
      <c r="AC24" s="543">
        <f>Sep!$G28</f>
        <v>0</v>
      </c>
      <c r="AD24" s="543">
        <f>Oct!$G29</f>
        <v>0</v>
      </c>
      <c r="AE24" s="543">
        <f>Nov!$G29</f>
        <v>0</v>
      </c>
      <c r="AF24" s="543">
        <f>Dec!$G28</f>
        <v>0</v>
      </c>
    </row>
    <row r="25" spans="1:33" hidden="1">
      <c r="A25" s="483"/>
      <c r="B25" s="481" t="s">
        <v>43</v>
      </c>
      <c r="C25" s="491">
        <f t="shared" si="15"/>
        <v>0</v>
      </c>
      <c r="D25" s="491">
        <f t="shared" si="14"/>
        <v>0</v>
      </c>
      <c r="E25" s="491">
        <v>0</v>
      </c>
      <c r="F25" s="491">
        <v>0</v>
      </c>
      <c r="G25" s="491">
        <v>0</v>
      </c>
      <c r="H25" s="491">
        <v>0</v>
      </c>
      <c r="I25" s="543"/>
      <c r="J25" s="543"/>
      <c r="K25" s="543"/>
      <c r="L25" s="543"/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3"/>
      <c r="AF25" s="543"/>
    </row>
    <row r="26" spans="1:33">
      <c r="A26" s="483"/>
      <c r="B26" s="481" t="s">
        <v>74</v>
      </c>
      <c r="C26" s="491">
        <f t="shared" si="15"/>
        <v>26235211</v>
      </c>
      <c r="D26" s="491">
        <f t="shared" si="14"/>
        <v>30501971</v>
      </c>
      <c r="E26" s="491">
        <v>1818699</v>
      </c>
      <c r="F26" s="491">
        <v>2531895</v>
      </c>
      <c r="G26" s="491">
        <v>2936207</v>
      </c>
      <c r="H26" s="491">
        <v>3675604</v>
      </c>
      <c r="I26" s="543">
        <v>3517013</v>
      </c>
      <c r="J26" s="543">
        <v>3103551</v>
      </c>
      <c r="K26" s="543">
        <v>2882510</v>
      </c>
      <c r="L26" s="543">
        <v>2426511</v>
      </c>
      <c r="M26" s="543">
        <v>2096539</v>
      </c>
      <c r="N26" s="543">
        <v>1865473</v>
      </c>
      <c r="O26" s="543">
        <v>1934510</v>
      </c>
      <c r="P26" s="543">
        <v>1781233</v>
      </c>
      <c r="Q26" s="543">
        <v>1975142</v>
      </c>
      <c r="R26" s="543">
        <v>2307678</v>
      </c>
      <c r="S26" s="543">
        <v>3052956</v>
      </c>
      <c r="T26" s="543">
        <v>3180451</v>
      </c>
      <c r="U26" s="543">
        <v>3286166</v>
      </c>
      <c r="V26" s="543">
        <f>Feb!$G30</f>
        <v>2735718</v>
      </c>
      <c r="W26" s="543">
        <f>Mar!$G30</f>
        <v>2608561</v>
      </c>
      <c r="X26" s="543">
        <f>Apr!$G30</f>
        <v>2436951</v>
      </c>
      <c r="Y26" s="543">
        <f>May!$G30</f>
        <v>2203136</v>
      </c>
      <c r="Z26" s="543">
        <f>Jun!$G30</f>
        <v>1941783</v>
      </c>
      <c r="AA26" s="543">
        <f>Jul!$G30</f>
        <v>1912819</v>
      </c>
      <c r="AB26" s="543">
        <f>Aug!$G30</f>
        <v>1943542</v>
      </c>
      <c r="AC26" s="543">
        <f>Sep!$G30</f>
        <v>1945064</v>
      </c>
      <c r="AD26" s="543">
        <f>Oct!$G31</f>
        <v>2201297</v>
      </c>
      <c r="AE26" s="543">
        <f>Nov!$G31</f>
        <v>3020174</v>
      </c>
      <c r="AF26" s="543">
        <f>Dec!$G30</f>
        <v>0</v>
      </c>
    </row>
    <row r="27" spans="1:33" ht="16" thickBot="1">
      <c r="A27" s="483"/>
      <c r="B27" s="481" t="s">
        <v>21</v>
      </c>
      <c r="C27" s="491">
        <f t="shared" si="15"/>
        <v>149588594</v>
      </c>
      <c r="D27" s="542">
        <f t="shared" si="14"/>
        <v>201084465</v>
      </c>
      <c r="E27" s="542">
        <f>SUM(E19:E26)</f>
        <v>6409834</v>
      </c>
      <c r="F27" s="542">
        <f>SUM(F19:F26)</f>
        <v>16252041</v>
      </c>
      <c r="G27" s="542">
        <f t="shared" ref="G27:H27" si="16">SUM(G19:G26)</f>
        <v>24054373</v>
      </c>
      <c r="H27" s="542">
        <f t="shared" si="16"/>
        <v>34418458</v>
      </c>
      <c r="I27" s="542">
        <v>31759465</v>
      </c>
      <c r="J27" s="542">
        <v>30732294</v>
      </c>
      <c r="K27" s="542">
        <v>22715329</v>
      </c>
      <c r="L27" s="542">
        <v>14000465</v>
      </c>
      <c r="M27" s="542">
        <v>8312398</v>
      </c>
      <c r="N27" s="542">
        <v>6514751</v>
      </c>
      <c r="O27" s="542">
        <v>5757349</v>
      </c>
      <c r="P27" s="542">
        <v>5525718</v>
      </c>
      <c r="Q27" s="542">
        <v>6773435</v>
      </c>
      <c r="R27" s="542">
        <v>10520430</v>
      </c>
      <c r="S27" s="542">
        <v>25535994</v>
      </c>
      <c r="T27" s="542">
        <v>28660002</v>
      </c>
      <c r="U27" s="542">
        <v>29883272</v>
      </c>
      <c r="V27" s="542">
        <f t="shared" ref="V27:AF27" si="17">SUM(V19:V26)</f>
        <v>21809394</v>
      </c>
      <c r="W27" s="542">
        <f t="shared" si="17"/>
        <v>17454090</v>
      </c>
      <c r="X27" s="542">
        <f t="shared" si="17"/>
        <v>14032685</v>
      </c>
      <c r="Y27" s="542">
        <f t="shared" si="17"/>
        <v>7651890</v>
      </c>
      <c r="Z27" s="542">
        <f t="shared" si="17"/>
        <v>5795038</v>
      </c>
      <c r="AA27" s="542">
        <f t="shared" si="17"/>
        <v>5628267</v>
      </c>
      <c r="AB27" s="542">
        <f t="shared" si="17"/>
        <v>5459507</v>
      </c>
      <c r="AC27" s="542">
        <f t="shared" si="17"/>
        <v>7409442</v>
      </c>
      <c r="AD27" s="542">
        <f t="shared" si="17"/>
        <v>10024910</v>
      </c>
      <c r="AE27" s="542">
        <f t="shared" si="17"/>
        <v>24440099</v>
      </c>
      <c r="AF27" s="542">
        <f t="shared" si="17"/>
        <v>0</v>
      </c>
    </row>
    <row r="28" spans="1:33" ht="16" thickTop="1">
      <c r="A28" s="483"/>
      <c r="B28" s="481" t="s">
        <v>269</v>
      </c>
      <c r="C28" s="491">
        <f>SUM(U28:AF28)</f>
        <v>115123585</v>
      </c>
      <c r="D28" s="491">
        <f t="shared" si="14"/>
        <v>201084465</v>
      </c>
      <c r="E28" s="491">
        <v>6409834</v>
      </c>
      <c r="F28" s="491">
        <v>16252041</v>
      </c>
      <c r="G28" s="491">
        <v>24054373</v>
      </c>
      <c r="H28" s="491">
        <v>34418458</v>
      </c>
      <c r="I28" s="491">
        <v>31759465</v>
      </c>
      <c r="J28" s="491">
        <v>30732294</v>
      </c>
      <c r="K28" s="491">
        <v>22715329</v>
      </c>
      <c r="L28" s="491">
        <v>14000465</v>
      </c>
      <c r="M28" s="491">
        <v>8312398</v>
      </c>
      <c r="N28" s="491">
        <v>6514751</v>
      </c>
      <c r="O28" s="491">
        <v>5757349</v>
      </c>
      <c r="P28" s="491">
        <v>5525718</v>
      </c>
      <c r="Q28" s="491">
        <v>6773435</v>
      </c>
      <c r="R28" s="491">
        <v>10520430</v>
      </c>
      <c r="S28" s="491">
        <v>25535994</v>
      </c>
      <c r="T28" s="491">
        <v>28660002</v>
      </c>
      <c r="U28" s="491">
        <v>29883272</v>
      </c>
      <c r="V28" s="491">
        <v>21809394</v>
      </c>
      <c r="W28" s="491">
        <v>17454090</v>
      </c>
      <c r="X28" s="491">
        <v>14032685</v>
      </c>
      <c r="Y28" s="491">
        <v>7651890</v>
      </c>
      <c r="Z28" s="491">
        <v>5795038</v>
      </c>
      <c r="AA28" s="491">
        <v>5628267</v>
      </c>
      <c r="AB28" s="691">
        <v>5459507</v>
      </c>
      <c r="AC28" s="491">
        <v>7409442</v>
      </c>
      <c r="AD28" s="491"/>
      <c r="AE28" s="491"/>
      <c r="AF28" s="491"/>
      <c r="AG28" s="491"/>
    </row>
    <row r="29" spans="1:33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</row>
    <row r="30" spans="1:33">
      <c r="A30" s="484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D30" si="18">U30+1</f>
        <v>201502</v>
      </c>
      <c r="W30" s="484">
        <f t="shared" si="18"/>
        <v>201503</v>
      </c>
      <c r="X30" s="484">
        <f t="shared" si="18"/>
        <v>201504</v>
      </c>
      <c r="Y30" s="484">
        <f t="shared" si="18"/>
        <v>201505</v>
      </c>
      <c r="Z30" s="484">
        <f t="shared" si="18"/>
        <v>201506</v>
      </c>
      <c r="AA30" s="484">
        <f t="shared" si="18"/>
        <v>201507</v>
      </c>
      <c r="AB30" s="484">
        <f t="shared" si="18"/>
        <v>201508</v>
      </c>
      <c r="AC30" s="484">
        <f t="shared" si="18"/>
        <v>201509</v>
      </c>
      <c r="AD30" s="484">
        <f t="shared" si="18"/>
        <v>201510</v>
      </c>
      <c r="AE30" s="484">
        <f>AD30+1</f>
        <v>201511</v>
      </c>
      <c r="AF30" s="484">
        <f t="shared" ref="AF30" si="19">AE30+1</f>
        <v>201512</v>
      </c>
    </row>
    <row r="31" spans="1:33">
      <c r="A31" s="483"/>
      <c r="B31" s="481" t="s">
        <v>37</v>
      </c>
      <c r="E31" s="492">
        <v>3.3950000000000001E-2</v>
      </c>
      <c r="F31" s="492">
        <v>3.3950000000000001E-2</v>
      </c>
      <c r="G31" s="496" t="s">
        <v>270</v>
      </c>
      <c r="H31" s="496" t="s">
        <v>270</v>
      </c>
      <c r="I31" s="492">
        <v>-2.9299999999999999E-3</v>
      </c>
      <c r="J31" s="492">
        <v>-2.9299999999999999E-3</v>
      </c>
      <c r="K31" s="492">
        <v>-2.9299999999999999E-3</v>
      </c>
      <c r="L31" s="492">
        <v>-2.9299999999999999E-3</v>
      </c>
      <c r="M31" s="492">
        <v>-2.9299999999999999E-3</v>
      </c>
      <c r="N31" s="492">
        <v>-2.9299999999999999E-3</v>
      </c>
      <c r="O31" s="492">
        <v>-2.9299999999999999E-3</v>
      </c>
      <c r="P31" s="492">
        <v>-2.9299999999999999E-3</v>
      </c>
      <c r="Q31" s="492">
        <v>-2.9299999999999999E-3</v>
      </c>
      <c r="R31" s="492">
        <v>-2.9299999999999999E-3</v>
      </c>
      <c r="S31" s="496" t="s">
        <v>270</v>
      </c>
      <c r="T31" s="496" t="s">
        <v>270</v>
      </c>
      <c r="U31" s="492">
        <v>1.436E-2</v>
      </c>
      <c r="V31" s="492">
        <v>1.436E-2</v>
      </c>
      <c r="W31" s="492">
        <v>1.436E-2</v>
      </c>
      <c r="X31" s="492">
        <v>1.436E-2</v>
      </c>
      <c r="Y31" s="492">
        <v>1.436E-2</v>
      </c>
      <c r="Z31" s="492">
        <v>1.436E-2</v>
      </c>
      <c r="AA31" s="492">
        <v>1.436E-2</v>
      </c>
      <c r="AB31" s="492">
        <v>1.436E-2</v>
      </c>
      <c r="AC31" s="492">
        <v>1.436E-2</v>
      </c>
      <c r="AD31" s="492">
        <v>1.436E-2</v>
      </c>
      <c r="AE31" s="496" t="s">
        <v>270</v>
      </c>
      <c r="AF31" s="496" t="s">
        <v>270</v>
      </c>
    </row>
    <row r="32" spans="1:33">
      <c r="A32" s="483"/>
      <c r="B32" s="481" t="s">
        <v>38</v>
      </c>
      <c r="E32" s="492">
        <v>3.0599999999999999E-2</v>
      </c>
      <c r="F32" s="492">
        <v>3.0599999999999999E-2</v>
      </c>
      <c r="G32" s="496" t="s">
        <v>270</v>
      </c>
      <c r="H32" s="496" t="s">
        <v>270</v>
      </c>
      <c r="I32" s="492">
        <v>-5.5599999999999998E-3</v>
      </c>
      <c r="J32" s="492">
        <v>-5.5599999999999998E-3</v>
      </c>
      <c r="K32" s="492">
        <v>-5.5599999999999998E-3</v>
      </c>
      <c r="L32" s="492">
        <v>-5.5599999999999998E-3</v>
      </c>
      <c r="M32" s="492">
        <v>-5.5599999999999998E-3</v>
      </c>
      <c r="N32" s="492">
        <v>-5.5599999999999998E-3</v>
      </c>
      <c r="O32" s="492">
        <v>-5.5599999999999998E-3</v>
      </c>
      <c r="P32" s="492">
        <v>-5.5599999999999998E-3</v>
      </c>
      <c r="Q32" s="492">
        <v>-5.5599999999999998E-3</v>
      </c>
      <c r="R32" s="492">
        <v>-5.5599999999999998E-3</v>
      </c>
      <c r="S32" s="496" t="s">
        <v>270</v>
      </c>
      <c r="T32" s="496" t="s">
        <v>270</v>
      </c>
      <c r="U32" s="492">
        <v>8.0800000000000004E-3</v>
      </c>
      <c r="V32" s="492">
        <v>8.0800000000000004E-3</v>
      </c>
      <c r="W32" s="492">
        <v>8.0800000000000004E-3</v>
      </c>
      <c r="X32" s="492">
        <v>8.0800000000000004E-3</v>
      </c>
      <c r="Y32" s="492">
        <v>8.0800000000000004E-3</v>
      </c>
      <c r="Z32" s="492">
        <v>8.0800000000000004E-3</v>
      </c>
      <c r="AA32" s="492">
        <v>8.0800000000000004E-3</v>
      </c>
      <c r="AB32" s="492">
        <v>8.0800000000000004E-3</v>
      </c>
      <c r="AC32" s="492">
        <v>8.0800000000000004E-3</v>
      </c>
      <c r="AD32" s="492">
        <v>8.0800000000000004E-3</v>
      </c>
      <c r="AE32" s="496" t="s">
        <v>270</v>
      </c>
      <c r="AF32" s="496" t="s">
        <v>270</v>
      </c>
    </row>
    <row r="33" spans="1:39" hidden="1">
      <c r="A33" s="483"/>
      <c r="B33" s="481" t="s">
        <v>39</v>
      </c>
      <c r="E33" s="492"/>
      <c r="F33" s="492"/>
      <c r="G33" s="496" t="s">
        <v>270</v>
      </c>
      <c r="H33" s="496" t="s">
        <v>270</v>
      </c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 t="s">
        <v>270</v>
      </c>
      <c r="T33" s="496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6" t="s">
        <v>270</v>
      </c>
      <c r="AF33" s="496" t="s">
        <v>270</v>
      </c>
    </row>
    <row r="34" spans="1:39">
      <c r="A34" s="483"/>
      <c r="B34" s="481" t="s">
        <v>40</v>
      </c>
      <c r="E34" s="492">
        <v>2.998E-2</v>
      </c>
      <c r="F34" s="492">
        <v>2.998E-2</v>
      </c>
      <c r="G34" s="496" t="s">
        <v>270</v>
      </c>
      <c r="H34" s="496" t="s">
        <v>270</v>
      </c>
      <c r="I34" s="492">
        <v>-1.5820000000000001E-2</v>
      </c>
      <c r="J34" s="492">
        <v>-1.5820000000000001E-2</v>
      </c>
      <c r="K34" s="492">
        <v>-1.5820000000000001E-2</v>
      </c>
      <c r="L34" s="492">
        <v>-1.5820000000000001E-2</v>
      </c>
      <c r="M34" s="492">
        <v>-1.5820000000000001E-2</v>
      </c>
      <c r="N34" s="492">
        <v>-1.5820000000000001E-2</v>
      </c>
      <c r="O34" s="492">
        <v>-1.5820000000000001E-2</v>
      </c>
      <c r="P34" s="492">
        <v>-1.5820000000000001E-2</v>
      </c>
      <c r="Q34" s="492">
        <v>-1.5820000000000001E-2</v>
      </c>
      <c r="R34" s="492">
        <v>-1.5820000000000001E-2</v>
      </c>
      <c r="S34" s="496" t="s">
        <v>270</v>
      </c>
      <c r="T34" s="496" t="s">
        <v>270</v>
      </c>
      <c r="U34" s="492">
        <v>-1.0359999999999999E-2</v>
      </c>
      <c r="V34" s="492">
        <v>-1.0359999999999999E-2</v>
      </c>
      <c r="W34" s="492">
        <v>-1.0359999999999999E-2</v>
      </c>
      <c r="X34" s="492">
        <v>-1.0359999999999999E-2</v>
      </c>
      <c r="Y34" s="492">
        <v>-1.0359999999999999E-2</v>
      </c>
      <c r="Z34" s="492">
        <v>-1.0359999999999999E-2</v>
      </c>
      <c r="AA34" s="492">
        <v>-1.0359999999999999E-2</v>
      </c>
      <c r="AB34" s="492">
        <v>-1.0359999999999999E-2</v>
      </c>
      <c r="AC34" s="492">
        <v>-1.0359999999999999E-2</v>
      </c>
      <c r="AD34" s="492">
        <v>-1.0359999999999999E-2</v>
      </c>
      <c r="AE34" s="496" t="s">
        <v>270</v>
      </c>
      <c r="AF34" s="496" t="s">
        <v>270</v>
      </c>
    </row>
    <row r="35" spans="1:39" hidden="1">
      <c r="A35" s="483"/>
      <c r="B35" s="481" t="s">
        <v>41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</row>
    <row r="36" spans="1:39" ht="16" thickBot="1">
      <c r="A36" s="483"/>
      <c r="B36" s="481" t="s">
        <v>42</v>
      </c>
      <c r="E36" s="492">
        <v>5.7389999999999997E-2</v>
      </c>
      <c r="F36" s="492">
        <v>5.7389999999999997E-2</v>
      </c>
      <c r="G36" s="496" t="s">
        <v>270</v>
      </c>
      <c r="H36" s="496" t="s">
        <v>270</v>
      </c>
      <c r="I36" s="492">
        <v>3.0499999999999999E-2</v>
      </c>
      <c r="J36" s="492">
        <v>3.0499999999999999E-2</v>
      </c>
      <c r="K36" s="492">
        <v>3.0499999999999999E-2</v>
      </c>
      <c r="L36" s="492">
        <v>3.0499999999999999E-2</v>
      </c>
      <c r="M36" s="492">
        <v>3.0499999999999999E-2</v>
      </c>
      <c r="N36" s="492">
        <v>3.0499999999999999E-2</v>
      </c>
      <c r="O36" s="492">
        <v>3.0499999999999999E-2</v>
      </c>
      <c r="P36" s="492">
        <v>3.0499999999999999E-2</v>
      </c>
      <c r="Q36" s="492">
        <v>3.0499999999999999E-2</v>
      </c>
      <c r="R36" s="492">
        <v>3.0499999999999999E-2</v>
      </c>
      <c r="S36" s="496" t="s">
        <v>270</v>
      </c>
      <c r="T36" s="496" t="s">
        <v>270</v>
      </c>
      <c r="U36" s="492">
        <v>-2.3310000000000001E-2</v>
      </c>
      <c r="V36" s="492">
        <v>-2.3310000000000001E-2</v>
      </c>
      <c r="W36" s="492">
        <v>-2.3310000000000001E-2</v>
      </c>
      <c r="X36" s="492">
        <v>-2.3310000000000001E-2</v>
      </c>
      <c r="Y36" s="492">
        <v>-2.3310000000000001E-2</v>
      </c>
      <c r="Z36" s="492">
        <v>-2.3310000000000001E-2</v>
      </c>
      <c r="AA36" s="492">
        <v>-2.3310000000000001E-2</v>
      </c>
      <c r="AB36" s="492">
        <v>-2.3310000000000001E-2</v>
      </c>
      <c r="AC36" s="492">
        <v>-2.3310000000000001E-2</v>
      </c>
      <c r="AD36" s="492">
        <v>-2.3310000000000001E-2</v>
      </c>
      <c r="AE36" s="496" t="s">
        <v>270</v>
      </c>
      <c r="AF36" s="496" t="s">
        <v>270</v>
      </c>
    </row>
    <row r="37" spans="1:39" ht="16" hidden="1" thickBot="1">
      <c r="A37" s="483"/>
      <c r="B37" s="481" t="s">
        <v>43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H37" s="483"/>
      <c r="AI37" s="484"/>
      <c r="AJ37" s="483"/>
      <c r="AK37" s="483"/>
      <c r="AL37" s="483"/>
      <c r="AM37" s="483"/>
    </row>
    <row r="38" spans="1:39" ht="16" thickBot="1">
      <c r="A38" s="483"/>
      <c r="B38" s="481" t="s">
        <v>74</v>
      </c>
      <c r="E38" s="492">
        <v>0</v>
      </c>
      <c r="F38" s="492">
        <v>0</v>
      </c>
      <c r="G38" s="496" t="s">
        <v>270</v>
      </c>
      <c r="H38" s="496" t="s">
        <v>270</v>
      </c>
      <c r="I38" s="492">
        <v>0</v>
      </c>
      <c r="J38" s="492">
        <v>0</v>
      </c>
      <c r="K38" s="492">
        <v>0</v>
      </c>
      <c r="L38" s="492">
        <v>0</v>
      </c>
      <c r="M38" s="492">
        <v>0</v>
      </c>
      <c r="N38" s="492">
        <v>0</v>
      </c>
      <c r="O38" s="492">
        <v>0</v>
      </c>
      <c r="P38" s="492">
        <v>0</v>
      </c>
      <c r="Q38" s="492">
        <v>0</v>
      </c>
      <c r="R38" s="492">
        <v>0</v>
      </c>
      <c r="S38" s="496" t="s">
        <v>270</v>
      </c>
      <c r="T38" s="496" t="s">
        <v>270</v>
      </c>
      <c r="U38" s="492">
        <v>0</v>
      </c>
      <c r="V38" s="492">
        <v>0</v>
      </c>
      <c r="W38" s="492">
        <v>0</v>
      </c>
      <c r="X38" s="492">
        <v>0</v>
      </c>
      <c r="Y38" s="492">
        <v>0</v>
      </c>
      <c r="Z38" s="492">
        <v>0</v>
      </c>
      <c r="AA38" s="492">
        <v>0</v>
      </c>
      <c r="AB38" s="492">
        <v>0</v>
      </c>
      <c r="AC38" s="492">
        <v>0</v>
      </c>
      <c r="AD38" s="492">
        <v>0</v>
      </c>
      <c r="AE38" s="496" t="s">
        <v>270</v>
      </c>
      <c r="AF38" s="496" t="s">
        <v>270</v>
      </c>
      <c r="AH38" s="513">
        <f>AH4</f>
        <v>201509</v>
      </c>
      <c r="AI38" s="526"/>
      <c r="AJ38" s="514"/>
      <c r="AK38" s="514"/>
      <c r="AL38" s="514"/>
      <c r="AM38" s="515"/>
    </row>
    <row r="39" spans="1:39">
      <c r="A39" s="483" t="s">
        <v>293</v>
      </c>
      <c r="E39" s="492"/>
      <c r="F39" s="492"/>
      <c r="G39" s="496"/>
      <c r="H39" s="496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H39" s="497" t="s">
        <v>298</v>
      </c>
      <c r="AI39" s="527">
        <v>419600</v>
      </c>
      <c r="AJ39" s="498" t="s">
        <v>288</v>
      </c>
      <c r="AK39" s="498" t="s">
        <v>289</v>
      </c>
      <c r="AL39" s="519">
        <v>0</v>
      </c>
      <c r="AM39" s="520">
        <f>IF(SUMIF(E40:AF40,AH38,E44:AF44)&gt;0,SUMIF(E40:AF40,AH38,E44:AF44),0)</f>
        <v>0</v>
      </c>
    </row>
    <row r="40" spans="1:39" s="483" customFormat="1">
      <c r="A40" s="484">
        <v>191000</v>
      </c>
      <c r="B40" s="485" t="s">
        <v>256</v>
      </c>
      <c r="C40" s="486" t="s">
        <v>251</v>
      </c>
      <c r="D40" s="689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D40" si="20">U40+1</f>
        <v>201502</v>
      </c>
      <c r="W40" s="484">
        <f t="shared" si="20"/>
        <v>201503</v>
      </c>
      <c r="X40" s="484">
        <f t="shared" si="20"/>
        <v>201504</v>
      </c>
      <c r="Y40" s="484">
        <f t="shared" si="20"/>
        <v>201505</v>
      </c>
      <c r="Z40" s="484">
        <f t="shared" si="20"/>
        <v>201506</v>
      </c>
      <c r="AA40" s="484">
        <f t="shared" si="20"/>
        <v>201507</v>
      </c>
      <c r="AB40" s="484">
        <f t="shared" si="20"/>
        <v>201508</v>
      </c>
      <c r="AC40" s="484">
        <f t="shared" si="20"/>
        <v>201509</v>
      </c>
      <c r="AD40" s="484">
        <f t="shared" si="20"/>
        <v>201510</v>
      </c>
      <c r="AE40" s="484">
        <f>AD40+1</f>
        <v>201511</v>
      </c>
      <c r="AF40" s="484">
        <f t="shared" ref="AF40" si="21">AE40+1</f>
        <v>201512</v>
      </c>
      <c r="AH40" s="499" t="s">
        <v>299</v>
      </c>
      <c r="AI40" s="528">
        <v>431600</v>
      </c>
      <c r="AJ40" s="358" t="s">
        <v>288</v>
      </c>
      <c r="AK40" s="358" t="s">
        <v>289</v>
      </c>
      <c r="AL40" s="381">
        <f>IF(SUMIF(E40:AF40,AH38,E44:AF44)&lt;0,-SUMIF(E40:AF40,AH38,E44:AF44),0)</f>
        <v>1283.8309373198406</v>
      </c>
      <c r="AM40" s="500">
        <v>0</v>
      </c>
    </row>
    <row r="41" spans="1:39" s="483" customFormat="1">
      <c r="B41" s="485" t="s">
        <v>257</v>
      </c>
      <c r="C41" s="482"/>
      <c r="E41" s="488">
        <v>3.2500000000000001E-2</v>
      </c>
      <c r="F41" s="488">
        <v>3.2500000000000001E-2</v>
      </c>
      <c r="G41" s="488">
        <v>3.2500000000000001E-2</v>
      </c>
      <c r="H41" s="488">
        <v>3.2500000000000001E-2</v>
      </c>
      <c r="I41" s="488">
        <v>3.2500000000000001E-2</v>
      </c>
      <c r="J41" s="488">
        <v>3.2500000000000001E-2</v>
      </c>
      <c r="K41" s="488">
        <v>3.2500000000000001E-2</v>
      </c>
      <c r="L41" s="488">
        <v>3.2500000000000001E-2</v>
      </c>
      <c r="M41" s="488">
        <v>3.2500000000000001E-2</v>
      </c>
      <c r="N41" s="488">
        <v>3.2500000000000001E-2</v>
      </c>
      <c r="O41" s="488">
        <v>3.2500000000000001E-2</v>
      </c>
      <c r="P41" s="488">
        <v>3.2500000000000001E-2</v>
      </c>
      <c r="Q41" s="488">
        <v>3.2500000000000001E-2</v>
      </c>
      <c r="R41" s="488">
        <v>3.2500000000000001E-2</v>
      </c>
      <c r="S41" s="488">
        <v>3.2500000000000001E-2</v>
      </c>
      <c r="T41" s="488">
        <v>3.2500000000000001E-2</v>
      </c>
      <c r="U41" s="488">
        <v>3.2500000000000001E-2</v>
      </c>
      <c r="V41" s="488">
        <v>3.2500000000000001E-2</v>
      </c>
      <c r="W41" s="488">
        <v>3.2500000000000001E-2</v>
      </c>
      <c r="X41" s="488">
        <v>3.2500000000000001E-2</v>
      </c>
      <c r="Y41" s="488">
        <v>3.2500000000000001E-2</v>
      </c>
      <c r="Z41" s="488">
        <v>3.2500000000000001E-2</v>
      </c>
      <c r="AA41" s="488">
        <v>3.2500000000000001E-2</v>
      </c>
      <c r="AB41" s="488">
        <v>3.2500000000000001E-2</v>
      </c>
      <c r="AC41" s="488">
        <v>3.2500000000000001E-2</v>
      </c>
      <c r="AD41" s="488">
        <v>3.2500000000000001E-2</v>
      </c>
      <c r="AE41" s="488">
        <v>3.2500000000000001E-2</v>
      </c>
      <c r="AF41" s="488">
        <v>3.2500000000000001E-2</v>
      </c>
      <c r="AH41" s="499" t="s">
        <v>300</v>
      </c>
      <c r="AI41" s="528">
        <v>191000</v>
      </c>
      <c r="AJ41" s="358" t="s">
        <v>288</v>
      </c>
      <c r="AK41" s="358" t="s">
        <v>289</v>
      </c>
      <c r="AL41" s="381">
        <f>IF((SUMIF(E40:AF40,AH38,E43:AF43)+SUMIF(E40:AF40,AH38,E44:AF44))&gt;0,(SUMIF(E40:AF40,AH38,E43:AF43)+SUMIF(E40:AF40,AH38,E44:AF44)),0)</f>
        <v>57228.467142680158</v>
      </c>
      <c r="AM41" s="500">
        <f>IF((SUMIF(E40:AF40,AH38,E43:AF43)+SUMIF(E40:AF40,AH38,E44:AF44))&lt;0,-(SUMIF(E40:AF40,AH38,E43:AF43)+SUMIF(E40:AF40,AH38,E44:AF44)),0)</f>
        <v>0</v>
      </c>
    </row>
    <row r="42" spans="1:39">
      <c r="A42" s="493"/>
      <c r="B42" s="481" t="s">
        <v>253</v>
      </c>
      <c r="E42" s="482">
        <v>-194854.27149590768</v>
      </c>
      <c r="F42" s="482">
        <f>E47</f>
        <v>-46035.360287444513</v>
      </c>
      <c r="G42" s="482">
        <f>F47</f>
        <v>404885.58467682183</v>
      </c>
      <c r="H42" s="482">
        <f>G47</f>
        <v>1486369.5928734979</v>
      </c>
      <c r="I42" s="482">
        <v>1388326.8065187801</v>
      </c>
      <c r="J42" s="482">
        <v>1256080.2312424269</v>
      </c>
      <c r="K42" s="482">
        <v>1153258.7731084346</v>
      </c>
      <c r="L42" s="482">
        <v>1078717.1045833002</v>
      </c>
      <c r="M42" s="482">
        <v>1033496.2426010612</v>
      </c>
      <c r="N42" s="482">
        <v>1007906.7387058339</v>
      </c>
      <c r="O42" s="482">
        <v>987738.42680743511</v>
      </c>
      <c r="P42" s="482">
        <v>972066.68936231779</v>
      </c>
      <c r="Q42" s="482">
        <v>955827.4742971377</v>
      </c>
      <c r="R42" s="482">
        <v>935484.97275235492</v>
      </c>
      <c r="S42" s="482">
        <v>900376.74388303224</v>
      </c>
      <c r="T42" s="482">
        <v>-1984640.7833043733</v>
      </c>
      <c r="U42" s="482">
        <v>-1530288.7769039478</v>
      </c>
      <c r="V42" s="482">
        <f>U47</f>
        <v>-1203520.6941716045</v>
      </c>
      <c r="W42" s="482">
        <f t="shared" ref="W42:AD42" si="22">V47</f>
        <v>-978605.01769356499</v>
      </c>
      <c r="X42" s="482">
        <f t="shared" si="22"/>
        <v>-801445.32791263924</v>
      </c>
      <c r="Y42" s="482">
        <f t="shared" si="22"/>
        <v>-669275.24177190254</v>
      </c>
      <c r="Z42" s="482">
        <f t="shared" si="22"/>
        <v>-610882.24266902648</v>
      </c>
      <c r="AA42" s="482">
        <f t="shared" si="22"/>
        <v>-574943.04011245095</v>
      </c>
      <c r="AB42" s="482">
        <f t="shared" si="22"/>
        <v>-537511.27700320142</v>
      </c>
      <c r="AC42" s="482">
        <f t="shared" si="22"/>
        <v>-503286.03358886426</v>
      </c>
      <c r="AD42" s="482">
        <f t="shared" si="22"/>
        <v>-446057.56644618412</v>
      </c>
      <c r="AE42" s="482">
        <f>AD47</f>
        <v>-360324.16779451753</v>
      </c>
      <c r="AF42" s="482">
        <f t="shared" ref="AF42" si="23">AE47</f>
        <v>-361300.04574896104</v>
      </c>
      <c r="AH42" s="499" t="s">
        <v>301</v>
      </c>
      <c r="AI42" s="528">
        <v>805110</v>
      </c>
      <c r="AJ42" s="358" t="s">
        <v>288</v>
      </c>
      <c r="AK42" s="358" t="s">
        <v>289</v>
      </c>
      <c r="AL42" s="381">
        <f>IF((SUMIF(E40:AF40,AH38,E43:AF43))&lt;0,-(SUMIF(E40:AF40,AH38,E43:AF43)),0)</f>
        <v>0</v>
      </c>
      <c r="AM42" s="500">
        <f>IF((SUMIF(E40:AF40,AH38,E43:AF43))&gt;0,(SUMIF(E40:AF40,AH38,E43:AF43)),0)</f>
        <v>58512.29808</v>
      </c>
    </row>
    <row r="43" spans="1:39">
      <c r="B43" s="481" t="s">
        <v>23</v>
      </c>
      <c r="C43" s="482">
        <f>SUM(U43:AF43)</f>
        <v>1189629.81828</v>
      </c>
      <c r="D43" s="494">
        <f>SUM(G43:R43)</f>
        <v>-672918.74727999989</v>
      </c>
      <c r="E43" s="482">
        <f>SUMPRODUCT(E19:E26,E31:E38)</f>
        <v>149144.67478</v>
      </c>
      <c r="F43" s="482">
        <f>SUMPRODUCT(F19:F26,F31:F38)</f>
        <v>450435.65911000001</v>
      </c>
      <c r="G43" s="482">
        <v>-82277.84</v>
      </c>
      <c r="H43" s="482">
        <v>-101930.34</v>
      </c>
      <c r="I43" s="482">
        <v>-108116.73896</v>
      </c>
      <c r="J43" s="482">
        <v>-106079.69250999999</v>
      </c>
      <c r="K43" s="482">
        <v>-77560.048470000009</v>
      </c>
      <c r="L43" s="482">
        <v>-48077.28282</v>
      </c>
      <c r="M43" s="482">
        <v>-28350.165369999999</v>
      </c>
      <c r="N43" s="482">
        <v>-22867.09346</v>
      </c>
      <c r="O43" s="482">
        <v>-18322.051239999997</v>
      </c>
      <c r="P43" s="482">
        <v>-18846.37455</v>
      </c>
      <c r="Q43" s="482">
        <v>-22900.190279999999</v>
      </c>
      <c r="R43" s="482">
        <v>-37590.929620000003</v>
      </c>
      <c r="S43" s="557">
        <v>257672.26615000004</v>
      </c>
      <c r="T43" s="557">
        <v>312766.45</v>
      </c>
      <c r="U43" s="482">
        <v>330465.11</v>
      </c>
      <c r="V43" s="482">
        <f>SUMPRODUCT(V19:V26,V31:V38)</f>
        <v>227866.64228000003</v>
      </c>
      <c r="W43" s="482">
        <f t="shared" ref="W43:X43" si="24">SUMPRODUCT(W19:W26,W31:W38)</f>
        <v>179566.91484000001</v>
      </c>
      <c r="X43" s="482">
        <f t="shared" si="24"/>
        <v>134158.99359999999</v>
      </c>
      <c r="Y43" s="482">
        <f>SUMPRODUCT(Y19:Y26,Y31:Y38)</f>
        <v>60124.201359999999</v>
      </c>
      <c r="Z43" s="482">
        <f t="shared" ref="Z43:AD43" si="25">SUMPRODUCT(Z19:Z26,Z31:Z38)</f>
        <v>37542.836040000002</v>
      </c>
      <c r="AA43" s="482">
        <f t="shared" si="25"/>
        <v>38936.174440000003</v>
      </c>
      <c r="AB43" s="482">
        <f t="shared" si="25"/>
        <v>35632.750439999996</v>
      </c>
      <c r="AC43" s="482">
        <f t="shared" si="25"/>
        <v>58512.29808</v>
      </c>
      <c r="AD43" s="482">
        <f t="shared" si="25"/>
        <v>86823.897200000007</v>
      </c>
      <c r="AE43" s="563"/>
      <c r="AF43" s="563"/>
      <c r="AH43" s="153" t="s">
        <v>156</v>
      </c>
      <c r="AI43" s="209">
        <f>AI41</f>
        <v>191000</v>
      </c>
      <c r="AJ43" s="209" t="str">
        <f t="shared" ref="AJ43:AK44" si="26">AJ41</f>
        <v>GD</v>
      </c>
      <c r="AK43" s="209" t="str">
        <f t="shared" si="26"/>
        <v>WA</v>
      </c>
      <c r="AL43" s="472">
        <v>0</v>
      </c>
      <c r="AM43" s="462">
        <v>0</v>
      </c>
    </row>
    <row r="44" spans="1:39" ht="16" thickBot="1">
      <c r="B44" s="481" t="s">
        <v>4</v>
      </c>
      <c r="C44" s="482">
        <f t="shared" ref="C44:C46" si="27">SUM(U44:AF44)</f>
        <v>-21619.608082249844</v>
      </c>
      <c r="D44" s="494">
        <f>SUM(G44:R44)</f>
        <v>36498.65781942301</v>
      </c>
      <c r="E44" s="482">
        <f>(E42*(E41/12))+((E43/2)*(E41/12))</f>
        <v>-325.7635715368333</v>
      </c>
      <c r="F44" s="482">
        <f>(F42*(F41/12))+((F43/2)*(F41/12))</f>
        <v>485.28585426629616</v>
      </c>
      <c r="G44" s="482">
        <f>((G42+G45)*(G41/12))+(((G43+G46)/2)*(G41/12))</f>
        <v>4107.1195298889406</v>
      </c>
      <c r="H44" s="489">
        <f>(H42*(H41/12))+((H43/2)*(H41/12))</f>
        <v>3887.5536452823899</v>
      </c>
      <c r="I44" s="489">
        <v>3613.643683646696</v>
      </c>
      <c r="J44" s="489">
        <v>3258.2343760076146</v>
      </c>
      <c r="K44" s="489">
        <v>3018.3799448655523</v>
      </c>
      <c r="L44" s="489">
        <v>2856.4208377610212</v>
      </c>
      <c r="M44" s="489">
        <v>2760.6614747726658</v>
      </c>
      <c r="N44" s="489">
        <v>2698.7815616012172</v>
      </c>
      <c r="O44" s="489">
        <v>2650.3137948826366</v>
      </c>
      <c r="P44" s="489">
        <v>2607.1594848198192</v>
      </c>
      <c r="Q44" s="489">
        <v>2557.688735217248</v>
      </c>
      <c r="R44" s="489">
        <v>2482.7007506772115</v>
      </c>
      <c r="S44" s="559">
        <v>-5609.7233374053303</v>
      </c>
      <c r="T44" s="560">
        <v>-4753.3635995743443</v>
      </c>
      <c r="U44" s="489">
        <v>-3697.0272676565255</v>
      </c>
      <c r="V44" s="489">
        <f t="shared" ref="V44:AD44" si="28">((V42*(V41/12))+((V43/2)*(V41/12)))</f>
        <v>-2950.9658019605959</v>
      </c>
      <c r="W44" s="489">
        <f>((W42*(W41/12))+((W43/2)*(W41/12)))</f>
        <v>-2407.2250590742387</v>
      </c>
      <c r="X44" s="489">
        <f t="shared" si="28"/>
        <v>-1988.9074592633983</v>
      </c>
      <c r="Y44" s="489">
        <f t="shared" si="28"/>
        <v>-1731.2022571239027</v>
      </c>
      <c r="Z44" s="489">
        <f t="shared" si="28"/>
        <v>-1603.6334834244467</v>
      </c>
      <c r="AA44" s="489">
        <f t="shared" si="28"/>
        <v>-1504.4113307503878</v>
      </c>
      <c r="AB44" s="489">
        <f t="shared" si="28"/>
        <v>-1407.5070256628373</v>
      </c>
      <c r="AC44" s="489">
        <f t="shared" si="28"/>
        <v>-1283.8309373198406</v>
      </c>
      <c r="AD44" s="489">
        <f t="shared" si="28"/>
        <v>-1090.4985483334153</v>
      </c>
      <c r="AE44" s="560">
        <f>((AE42+AE45)*(AE41/12))+(((AE43+AE46)/2)*(AE41/12))</f>
        <v>-975.87795444348501</v>
      </c>
      <c r="AF44" s="560">
        <f>((AF42+AF45)*(AF41/12))+(((AF43+AF46)/2)*(AF41/12))</f>
        <v>-978.5209572367695</v>
      </c>
      <c r="AH44" s="154" t="str">
        <f>AH43</f>
        <v>Large Customer Refund</v>
      </c>
      <c r="AI44" s="561">
        <f>AI42</f>
        <v>805110</v>
      </c>
      <c r="AJ44" s="561" t="str">
        <f t="shared" si="26"/>
        <v>GD</v>
      </c>
      <c r="AK44" s="561" t="str">
        <f t="shared" si="26"/>
        <v>WA</v>
      </c>
      <c r="AL44" s="464">
        <f>AM43</f>
        <v>0</v>
      </c>
      <c r="AM44" s="473">
        <f>AL43</f>
        <v>0</v>
      </c>
    </row>
    <row r="45" spans="1:39" ht="16" thickBot="1">
      <c r="B45" s="481" t="s">
        <v>259</v>
      </c>
      <c r="C45" s="482">
        <f t="shared" si="27"/>
        <v>0</v>
      </c>
      <c r="E45" s="482">
        <v>0</v>
      </c>
      <c r="F45" s="482">
        <v>0</v>
      </c>
      <c r="G45" s="482">
        <v>1145801.7486667871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-3063910.6100000003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63">
        <f>-AE11-AE10-AE9</f>
        <v>0</v>
      </c>
      <c r="AF45" s="563">
        <v>0</v>
      </c>
      <c r="AH45" s="516"/>
      <c r="AI45" s="530"/>
      <c r="AJ45" s="517"/>
      <c r="AK45" s="517"/>
      <c r="AL45" s="517" t="s">
        <v>159</v>
      </c>
      <c r="AM45" s="518">
        <f>SUM(AL39:AL44)-SUM(AM39:AM44)</f>
        <v>0</v>
      </c>
    </row>
    <row r="46" spans="1:39">
      <c r="B46" s="481" t="s">
        <v>148</v>
      </c>
      <c r="C46" s="482">
        <f t="shared" si="27"/>
        <v>0</v>
      </c>
      <c r="E46" s="482">
        <v>0</v>
      </c>
      <c r="F46" s="482">
        <v>0</v>
      </c>
      <c r="G46" s="482">
        <v>13852.98</v>
      </c>
      <c r="H46" s="482">
        <v>0</v>
      </c>
      <c r="I46" s="538">
        <v>-27743.479999999981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-73169.460000000006</v>
      </c>
      <c r="T46" s="557">
        <v>146338.92000000001</v>
      </c>
      <c r="U46" s="563">
        <v>0</v>
      </c>
      <c r="V46" s="482">
        <v>0</v>
      </c>
      <c r="W46" s="482">
        <v>0</v>
      </c>
      <c r="X46" s="482">
        <v>0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63"/>
      <c r="AF46" s="563">
        <f>-AE46*2</f>
        <v>0</v>
      </c>
    </row>
    <row r="47" spans="1:39" ht="16" thickBot="1">
      <c r="B47" s="481" t="s">
        <v>56</v>
      </c>
      <c r="C47" s="541">
        <f>SUM(C43:C46)</f>
        <v>1168010.2101977502</v>
      </c>
      <c r="D47" s="541"/>
      <c r="E47" s="541">
        <f>SUM(E42:E46)</f>
        <v>-46035.360287444513</v>
      </c>
      <c r="F47" s="541">
        <f t="shared" ref="F47:H47" si="29">SUM(F42:F46)</f>
        <v>404885.58467682183</v>
      </c>
      <c r="G47" s="541">
        <f t="shared" si="29"/>
        <v>1486369.5928734979</v>
      </c>
      <c r="H47" s="541">
        <f t="shared" si="29"/>
        <v>1388326.8065187801</v>
      </c>
      <c r="I47" s="541">
        <v>1256080.2312424269</v>
      </c>
      <c r="J47" s="541">
        <v>1153258.7731084346</v>
      </c>
      <c r="K47" s="541">
        <v>1078717.1045833002</v>
      </c>
      <c r="L47" s="541">
        <v>1033496.2426010612</v>
      </c>
      <c r="M47" s="541">
        <v>1007906.7387058339</v>
      </c>
      <c r="N47" s="541">
        <v>987738.42680743511</v>
      </c>
      <c r="O47" s="541">
        <v>972066.68936231779</v>
      </c>
      <c r="P47" s="541">
        <v>955827.4742971377</v>
      </c>
      <c r="Q47" s="541">
        <v>935484.97275235492</v>
      </c>
      <c r="R47" s="541">
        <v>900376.74388303224</v>
      </c>
      <c r="S47" s="541">
        <v>-1984640.7833043733</v>
      </c>
      <c r="T47" s="541">
        <v>-1530288.7769039478</v>
      </c>
      <c r="U47" s="541">
        <v>-1203520.6941716045</v>
      </c>
      <c r="V47" s="541">
        <f t="shared" ref="V47:AF47" si="30">SUM(V42:V46)</f>
        <v>-978605.01769356499</v>
      </c>
      <c r="W47" s="541">
        <f t="shared" si="30"/>
        <v>-801445.32791263924</v>
      </c>
      <c r="X47" s="541">
        <f t="shared" si="30"/>
        <v>-669275.24177190254</v>
      </c>
      <c r="Y47" s="541">
        <f t="shared" si="30"/>
        <v>-610882.24266902648</v>
      </c>
      <c r="Z47" s="541">
        <f t="shared" si="30"/>
        <v>-574943.04011245095</v>
      </c>
      <c r="AA47" s="541">
        <f t="shared" si="30"/>
        <v>-537511.27700320142</v>
      </c>
      <c r="AB47" s="541">
        <f t="shared" si="30"/>
        <v>-503286.03358886426</v>
      </c>
      <c r="AC47" s="541">
        <f t="shared" si="30"/>
        <v>-446057.56644618412</v>
      </c>
      <c r="AD47" s="541">
        <f t="shared" si="30"/>
        <v>-360324.16779451753</v>
      </c>
      <c r="AE47" s="541">
        <f t="shared" si="30"/>
        <v>-361300.04574896104</v>
      </c>
      <c r="AF47" s="541">
        <f t="shared" si="30"/>
        <v>-362278.5667061978</v>
      </c>
    </row>
    <row r="48" spans="1:39" ht="16" thickTop="1">
      <c r="B48" s="481" t="s">
        <v>260</v>
      </c>
      <c r="E48" s="482" t="e">
        <f ca="1">_xll.Get_Balance(E40,"YTD","USD","Total","A","","001",$A$40,"GD","WA","DL")</f>
        <v>#NAME?</v>
      </c>
      <c r="F48" s="482" t="e">
        <f ca="1">_xll.Get_Balance(F40,"YTD","USD","Total","A","","001",$A$40,"GD","WA","DL")</f>
        <v>#NAME?</v>
      </c>
      <c r="G48" s="482" t="e">
        <f ca="1">_xll.Get_Balance(G40,"YTD","USD","Total","A","","001",$A$40,"GD","WA","DL")</f>
        <v>#NAME?</v>
      </c>
      <c r="H48" s="482" t="e">
        <f ca="1">_xll.Get_Balance(H40,"YTD","USD","Total","A","","001",$A$40,"GD","WA","DL")</f>
        <v>#NAME?</v>
      </c>
      <c r="I48" s="482">
        <v>1256080.45</v>
      </c>
      <c r="J48" s="482">
        <v>1153258.99</v>
      </c>
      <c r="K48" s="482">
        <v>1078717.32</v>
      </c>
      <c r="L48" s="482">
        <v>1033496.46</v>
      </c>
      <c r="M48" s="482">
        <v>1007906.96</v>
      </c>
      <c r="N48" s="482">
        <v>987738.65</v>
      </c>
      <c r="O48" s="482">
        <v>972066.91</v>
      </c>
      <c r="P48" s="482">
        <v>955827.69</v>
      </c>
      <c r="Q48" s="482">
        <v>935485.19</v>
      </c>
      <c r="R48" s="482">
        <v>900376.96</v>
      </c>
      <c r="S48" s="482">
        <v>-1984640.57</v>
      </c>
      <c r="T48" s="482">
        <v>-1530288.56</v>
      </c>
      <c r="U48" s="482">
        <v>-1203520.48</v>
      </c>
      <c r="V48" s="482" t="e">
        <f ca="1">_xll.Get_Balance(V40,"YTD","USD","Total","A","","001",$A$40,"GD","WA","DL")</f>
        <v>#NAME?</v>
      </c>
      <c r="W48" s="482" t="e">
        <f ca="1">_xll.Get_Balance(W40,"YTD","USD","Total","A","","001",$A$40,"GD","WA","DL")</f>
        <v>#NAME?</v>
      </c>
      <c r="X48" s="482" t="e">
        <f ca="1">_xll.Get_Balance(X40,"YTD","USD","Total","A","","001",$A$40,"GD","WA","DL")</f>
        <v>#NAME?</v>
      </c>
      <c r="Y48" s="482" t="e">
        <f ca="1">_xll.Get_Balance(Y40,"YTD","USD","Total","A","","001",$A$40,"GD","WA","DL")</f>
        <v>#NAME?</v>
      </c>
      <c r="Z48" s="482" t="e">
        <f ca="1">_xll.Get_Balance(Z40,"YTD","USD","Total","A","","001",$A$40,"GD","WA","DL")</f>
        <v>#NAME?</v>
      </c>
      <c r="AA48" s="482" t="e">
        <f ca="1">_xll.Get_Balance(AA40,"YTD","USD","Total","A","","001",$A$40,"GD","WA","DL")</f>
        <v>#NAME?</v>
      </c>
      <c r="AB48" s="482" t="e">
        <f ca="1">_xll.Get_Balance(AB40,"YTD","USD","Total","A","","001",$A$40,"GD","WA","DL")</f>
        <v>#NAME?</v>
      </c>
      <c r="AC48" s="482" t="e">
        <f ca="1">_xll.Get_Balance(AC40,"YTD","USD","Total","A","","001",$A$40,"GD","WA","DL")</f>
        <v>#NAME?</v>
      </c>
      <c r="AD48" s="482" t="e">
        <f ca="1">_xll.Get_Balance(AD40,"YTD","USD","Total","A","","001",$A$40,"GD","WA","DL")</f>
        <v>#NAME?</v>
      </c>
      <c r="AE48" s="482" t="e">
        <f ca="1">_xll.Get_Balance(AE40,"YTD","USD","Total","A","","001",$A$40,"GD","WA","DL")</f>
        <v>#NAME?</v>
      </c>
      <c r="AF48" s="482" t="e">
        <f ca="1">_xll.Get_Balance(AF40,"YTD","USD","Total","A","","001",$A$40,"GD","WA","DL")</f>
        <v>#NAME?</v>
      </c>
      <c r="AL48" s="563"/>
    </row>
    <row r="49" spans="1:38">
      <c r="B49" s="481" t="s">
        <v>245</v>
      </c>
      <c r="E49" s="482" t="e">
        <f t="shared" ref="E49:H49" ca="1" si="31">E47-E48</f>
        <v>#NAME?</v>
      </c>
      <c r="F49" s="482" t="e">
        <f t="shared" ca="1" si="31"/>
        <v>#NAME?</v>
      </c>
      <c r="G49" s="482" t="e">
        <f t="shared" ca="1" si="31"/>
        <v>#NAME?</v>
      </c>
      <c r="H49" s="482" t="e">
        <f t="shared" ca="1" si="31"/>
        <v>#NAME?</v>
      </c>
      <c r="I49" s="482">
        <v>-0.21875757304951549</v>
      </c>
      <c r="J49" s="482">
        <v>-0.21689156536012888</v>
      </c>
      <c r="K49" s="482">
        <v>-0.21541669988073409</v>
      </c>
      <c r="L49" s="482">
        <v>-0.2173989387229085</v>
      </c>
      <c r="M49" s="482">
        <v>-0.22129416605457664</v>
      </c>
      <c r="N49" s="482">
        <v>-0.22319256491027772</v>
      </c>
      <c r="O49" s="482">
        <v>-0.22063768224325031</v>
      </c>
      <c r="P49" s="482">
        <v>-0.21570286224596202</v>
      </c>
      <c r="Q49" s="482">
        <v>-0.21724764502141625</v>
      </c>
      <c r="R49" s="482">
        <v>-0.21611696772743016</v>
      </c>
      <c r="S49" s="482">
        <v>-0.21330437320284545</v>
      </c>
      <c r="T49" s="482">
        <v>-0.21690394775941968</v>
      </c>
      <c r="U49" s="482">
        <v>-0.21417160448618233</v>
      </c>
      <c r="V49" s="482" t="e">
        <f t="shared" ref="V49:AF49" ca="1" si="32">V47-V48</f>
        <v>#NAME?</v>
      </c>
      <c r="W49" s="482" t="e">
        <f t="shared" ca="1" si="32"/>
        <v>#NAME?</v>
      </c>
      <c r="X49" s="482" t="e">
        <f t="shared" ca="1" si="32"/>
        <v>#NAME?</v>
      </c>
      <c r="Y49" s="482" t="e">
        <f t="shared" ca="1" si="32"/>
        <v>#NAME?</v>
      </c>
      <c r="Z49" s="482" t="e">
        <f t="shared" ca="1" si="32"/>
        <v>#NAME?</v>
      </c>
      <c r="AA49" s="482" t="e">
        <f t="shared" ca="1" si="32"/>
        <v>#NAME?</v>
      </c>
      <c r="AB49" s="482" t="e">
        <f t="shared" ca="1" si="32"/>
        <v>#NAME?</v>
      </c>
      <c r="AC49" s="482" t="e">
        <f t="shared" ca="1" si="32"/>
        <v>#NAME?</v>
      </c>
      <c r="AD49" s="482" t="e">
        <f t="shared" ca="1" si="32"/>
        <v>#NAME?</v>
      </c>
      <c r="AE49" s="482" t="e">
        <f t="shared" ca="1" si="32"/>
        <v>#NAME?</v>
      </c>
      <c r="AF49" s="482" t="e">
        <f t="shared" ca="1" si="32"/>
        <v>#NAME?</v>
      </c>
    </row>
    <row r="51" spans="1:38">
      <c r="A51" s="483" t="s">
        <v>292</v>
      </c>
      <c r="E51" s="535"/>
      <c r="F51" s="535"/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5"/>
      <c r="S51" s="535"/>
      <c r="T51" s="535"/>
      <c r="U51" s="535"/>
      <c r="V51" s="535"/>
      <c r="W51" s="535"/>
      <c r="X51" s="535"/>
      <c r="Y51" s="535"/>
      <c r="Z51" s="535"/>
      <c r="AA51" s="535"/>
      <c r="AB51" s="535"/>
      <c r="AC51" s="535"/>
      <c r="AD51" s="535"/>
      <c r="AE51" s="535"/>
      <c r="AF51" s="535"/>
    </row>
    <row r="52" spans="1:38">
      <c r="A52" s="484">
        <v>191025</v>
      </c>
      <c r="B52" s="485" t="s">
        <v>256</v>
      </c>
      <c r="C52" s="486" t="s">
        <v>251</v>
      </c>
      <c r="D52" s="486" t="s">
        <v>252</v>
      </c>
      <c r="E52" s="484">
        <v>201309</v>
      </c>
      <c r="F52" s="484">
        <f>E52+1</f>
        <v>201310</v>
      </c>
      <c r="G52" s="484">
        <f>F52+1</f>
        <v>201311</v>
      </c>
      <c r="H52" s="484">
        <f>G52+1</f>
        <v>201312</v>
      </c>
      <c r="I52" s="484">
        <v>201401</v>
      </c>
      <c r="J52" s="484">
        <v>201402</v>
      </c>
      <c r="K52" s="484">
        <v>201403</v>
      </c>
      <c r="L52" s="484">
        <v>201404</v>
      </c>
      <c r="M52" s="484">
        <v>201405</v>
      </c>
      <c r="N52" s="484">
        <v>201406</v>
      </c>
      <c r="O52" s="484">
        <v>201407</v>
      </c>
      <c r="P52" s="484">
        <v>201408</v>
      </c>
      <c r="Q52" s="484">
        <v>201409</v>
      </c>
      <c r="R52" s="484">
        <v>201410</v>
      </c>
      <c r="S52" s="484">
        <v>201411</v>
      </c>
      <c r="T52" s="484">
        <v>201412</v>
      </c>
      <c r="U52" s="484">
        <v>201501</v>
      </c>
      <c r="V52" s="484">
        <f t="shared" ref="V52:AD52" si="33">U52+1</f>
        <v>201502</v>
      </c>
      <c r="W52" s="484">
        <f t="shared" si="33"/>
        <v>201503</v>
      </c>
      <c r="X52" s="484">
        <f t="shared" si="33"/>
        <v>201504</v>
      </c>
      <c r="Y52" s="484">
        <f t="shared" si="33"/>
        <v>201505</v>
      </c>
      <c r="Z52" s="484">
        <f t="shared" si="33"/>
        <v>201506</v>
      </c>
      <c r="AA52" s="484">
        <f t="shared" si="33"/>
        <v>201507</v>
      </c>
      <c r="AB52" s="484">
        <f t="shared" si="33"/>
        <v>201508</v>
      </c>
      <c r="AC52" s="484">
        <f t="shared" si="33"/>
        <v>201509</v>
      </c>
      <c r="AD52" s="484">
        <f t="shared" si="33"/>
        <v>201510</v>
      </c>
      <c r="AE52" s="484">
        <f>AD52+1</f>
        <v>201511</v>
      </c>
      <c r="AF52" s="484">
        <f t="shared" ref="AF52" si="34">AE52+1</f>
        <v>201512</v>
      </c>
      <c r="AL52" s="563"/>
    </row>
    <row r="53" spans="1:38">
      <c r="A53" s="483"/>
      <c r="B53" s="481" t="s">
        <v>37</v>
      </c>
      <c r="C53" s="491">
        <f>SUM(U53:AF53)</f>
        <v>83964548</v>
      </c>
      <c r="D53" s="491">
        <f t="shared" ref="D53:D62" si="35">SUM(G53:R53)</f>
        <v>118507804</v>
      </c>
      <c r="E53" s="491">
        <v>2647538</v>
      </c>
      <c r="F53" s="491">
        <v>9244353</v>
      </c>
      <c r="G53" s="491">
        <v>15070678</v>
      </c>
      <c r="H53" s="491">
        <v>22636008</v>
      </c>
      <c r="I53" s="543">
        <v>20682450</v>
      </c>
      <c r="J53" s="543">
        <v>20184373</v>
      </c>
      <c r="K53" s="543">
        <v>14096743</v>
      </c>
      <c r="L53" s="543">
        <v>7776328</v>
      </c>
      <c r="M53" s="543">
        <v>3691303</v>
      </c>
      <c r="N53" s="543">
        <v>2545780</v>
      </c>
      <c r="O53" s="543">
        <v>2095088</v>
      </c>
      <c r="P53" s="543">
        <v>2047777</v>
      </c>
      <c r="Q53" s="543">
        <v>2727612</v>
      </c>
      <c r="R53" s="543">
        <v>4953664</v>
      </c>
      <c r="S53" s="543">
        <v>15823016</v>
      </c>
      <c r="T53" s="543">
        <v>19056609</v>
      </c>
      <c r="U53" s="543">
        <v>19909674</v>
      </c>
      <c r="V53" s="543">
        <f>Feb!$G23</f>
        <v>13011547</v>
      </c>
      <c r="W53" s="543">
        <f>Mar!$G23</f>
        <v>10479005</v>
      </c>
      <c r="X53" s="543">
        <f>Apr!$G23</f>
        <v>7714478</v>
      </c>
      <c r="Y53" s="543">
        <f>May!$G23</f>
        <v>3297360</v>
      </c>
      <c r="Z53" s="543">
        <f>Jun!$G23</f>
        <v>1968489</v>
      </c>
      <c r="AA53" s="543">
        <f>Jul!$G23</f>
        <v>2145139</v>
      </c>
      <c r="AB53" s="543">
        <f>Aug!$G23</f>
        <v>1956853</v>
      </c>
      <c r="AC53" s="543">
        <f>Sep!$G23</f>
        <v>3273457</v>
      </c>
      <c r="AD53" s="543">
        <f>Oct!$G23</f>
        <v>4833518</v>
      </c>
      <c r="AE53" s="543">
        <f>Nov!$G23</f>
        <v>15375028</v>
      </c>
      <c r="AF53" s="543">
        <f>Dec!$G23</f>
        <v>0</v>
      </c>
    </row>
    <row r="54" spans="1:38">
      <c r="A54" s="483"/>
      <c r="B54" s="481" t="s">
        <v>38</v>
      </c>
      <c r="C54" s="491">
        <f t="shared" ref="C54:C61" si="36">SUM(U54:AF54)</f>
        <v>35336899</v>
      </c>
      <c r="D54" s="491">
        <f t="shared" si="35"/>
        <v>47081391</v>
      </c>
      <c r="E54" s="491">
        <v>1599551</v>
      </c>
      <c r="F54" s="491">
        <v>3880001</v>
      </c>
      <c r="G54" s="491">
        <v>5651303</v>
      </c>
      <c r="H54" s="491">
        <v>7518125</v>
      </c>
      <c r="I54" s="543">
        <v>7025543</v>
      </c>
      <c r="J54" s="543">
        <v>6903553</v>
      </c>
      <c r="K54" s="543">
        <v>5310734</v>
      </c>
      <c r="L54" s="543">
        <v>3390429</v>
      </c>
      <c r="M54" s="543">
        <v>2183609</v>
      </c>
      <c r="N54" s="543">
        <v>1741655</v>
      </c>
      <c r="O54" s="543">
        <v>1476567</v>
      </c>
      <c r="P54" s="543">
        <v>1364087</v>
      </c>
      <c r="Q54" s="543">
        <v>1739755</v>
      </c>
      <c r="R54" s="543">
        <v>2776031</v>
      </c>
      <c r="S54" s="543">
        <v>6141604</v>
      </c>
      <c r="T54" s="543">
        <v>6045485</v>
      </c>
      <c r="U54" s="543">
        <v>6173752</v>
      </c>
      <c r="V54" s="543">
        <f>Feb!$G24</f>
        <v>5630395</v>
      </c>
      <c r="W54" s="543">
        <f>Mar!$G24</f>
        <v>4030672</v>
      </c>
      <c r="X54" s="543">
        <f>Apr!$G24</f>
        <v>3448422</v>
      </c>
      <c r="Y54" s="543">
        <f>May!$G24</f>
        <v>1901440</v>
      </c>
      <c r="Z54" s="543">
        <f>Jun!$G24</f>
        <v>1561904</v>
      </c>
      <c r="AA54" s="543">
        <f>Jul!$G24</f>
        <v>1323231</v>
      </c>
      <c r="AB54" s="543">
        <f>Aug!$G24</f>
        <v>1284422</v>
      </c>
      <c r="AC54" s="543">
        <f>Sep!$G24</f>
        <v>1854848</v>
      </c>
      <c r="AD54" s="543">
        <f>Oct!$G25</f>
        <v>2624293</v>
      </c>
      <c r="AE54" s="543">
        <f>Nov!$G25</f>
        <v>5503520</v>
      </c>
      <c r="AF54" s="543">
        <f>Dec!$G24</f>
        <v>0</v>
      </c>
    </row>
    <row r="55" spans="1:38">
      <c r="A55" s="483"/>
      <c r="B55" s="481" t="s">
        <v>39</v>
      </c>
      <c r="C55" s="491">
        <f t="shared" si="36"/>
        <v>0</v>
      </c>
      <c r="D55" s="491">
        <f t="shared" si="35"/>
        <v>0</v>
      </c>
      <c r="E55" s="491">
        <v>0</v>
      </c>
      <c r="F55" s="491">
        <v>0</v>
      </c>
      <c r="G55" s="491">
        <v>0</v>
      </c>
      <c r="H55" s="491">
        <v>0</v>
      </c>
      <c r="I55" s="543">
        <v>0</v>
      </c>
      <c r="J55" s="543">
        <v>0</v>
      </c>
      <c r="K55" s="543">
        <v>0</v>
      </c>
      <c r="L55" s="543">
        <v>0</v>
      </c>
      <c r="M55" s="543">
        <v>0</v>
      </c>
      <c r="N55" s="543">
        <v>0</v>
      </c>
      <c r="O55" s="543">
        <v>0</v>
      </c>
      <c r="P55" s="543">
        <v>0</v>
      </c>
      <c r="Q55" s="543">
        <v>0</v>
      </c>
      <c r="R55" s="543">
        <v>0</v>
      </c>
      <c r="S55" s="543">
        <v>0</v>
      </c>
      <c r="T55" s="543">
        <v>0</v>
      </c>
      <c r="U55" s="543">
        <v>0</v>
      </c>
      <c r="V55" s="543">
        <f>Feb!$G25</f>
        <v>0</v>
      </c>
      <c r="W55" s="543">
        <f>Mar!$G25</f>
        <v>0</v>
      </c>
      <c r="X55" s="543">
        <f>Apr!$G25</f>
        <v>0</v>
      </c>
      <c r="Y55" s="543">
        <f>May!$G25</f>
        <v>0</v>
      </c>
      <c r="Z55" s="543">
        <f>Jun!$G25</f>
        <v>0</v>
      </c>
      <c r="AA55" s="543">
        <f>Jul!$G25</f>
        <v>0</v>
      </c>
      <c r="AB55" s="543">
        <f>Aug!$G25</f>
        <v>0</v>
      </c>
      <c r="AC55" s="543">
        <f>Sep!$G25</f>
        <v>0</v>
      </c>
      <c r="AD55" s="543">
        <f>Oct!$G26</f>
        <v>0</v>
      </c>
      <c r="AE55" s="543">
        <f>Nov!$G26</f>
        <v>0</v>
      </c>
      <c r="AF55" s="543">
        <f>Dec!$G25</f>
        <v>0</v>
      </c>
    </row>
    <row r="56" spans="1:38">
      <c r="A56" s="483"/>
      <c r="B56" s="481" t="s">
        <v>40</v>
      </c>
      <c r="C56" s="491">
        <f t="shared" si="36"/>
        <v>4051936</v>
      </c>
      <c r="D56" s="491">
        <f t="shared" si="35"/>
        <v>4993299</v>
      </c>
      <c r="E56" s="491">
        <v>344046</v>
      </c>
      <c r="F56" s="491">
        <v>595792</v>
      </c>
      <c r="G56" s="491">
        <v>396185</v>
      </c>
      <c r="H56" s="491">
        <v>588721</v>
      </c>
      <c r="I56" s="543">
        <v>534459</v>
      </c>
      <c r="J56" s="543">
        <v>540817</v>
      </c>
      <c r="K56" s="543">
        <v>425342</v>
      </c>
      <c r="L56" s="543">
        <v>407197</v>
      </c>
      <c r="M56" s="543">
        <v>340947</v>
      </c>
      <c r="N56" s="543">
        <v>361843</v>
      </c>
      <c r="O56" s="543">
        <v>251184</v>
      </c>
      <c r="P56" s="543">
        <v>332621</v>
      </c>
      <c r="Q56" s="543">
        <v>330926</v>
      </c>
      <c r="R56" s="543">
        <v>483057</v>
      </c>
      <c r="S56" s="543">
        <v>518418</v>
      </c>
      <c r="T56" s="543">
        <v>377457</v>
      </c>
      <c r="U56" s="543">
        <v>513680</v>
      </c>
      <c r="V56" s="543">
        <f>Feb!$G26</f>
        <v>431734</v>
      </c>
      <c r="W56" s="543">
        <f>Mar!$G26</f>
        <v>335852</v>
      </c>
      <c r="X56" s="543">
        <f>Apr!$G26</f>
        <v>432834</v>
      </c>
      <c r="Y56" s="543">
        <f>May!$G26</f>
        <v>249954</v>
      </c>
      <c r="Z56" s="543">
        <f>Jun!$G26</f>
        <v>322862</v>
      </c>
      <c r="AA56" s="543">
        <f>Jul!$G26</f>
        <v>247078</v>
      </c>
      <c r="AB56" s="543">
        <f>Aug!$G26</f>
        <v>274690</v>
      </c>
      <c r="AC56" s="543">
        <f>Sep!$G26</f>
        <v>336073</v>
      </c>
      <c r="AD56" s="543">
        <f>Oct!$G27</f>
        <v>365802</v>
      </c>
      <c r="AE56" s="543">
        <f>Nov!$G27</f>
        <v>541377</v>
      </c>
      <c r="AF56" s="543">
        <f>Dec!$G26</f>
        <v>0</v>
      </c>
    </row>
    <row r="57" spans="1:38">
      <c r="A57" s="483"/>
      <c r="B57" s="481" t="s">
        <v>41</v>
      </c>
      <c r="C57" s="491">
        <f t="shared" si="36"/>
        <v>504443</v>
      </c>
      <c r="D57" s="491">
        <f t="shared" si="35"/>
        <v>658607</v>
      </c>
      <c r="E57" s="491">
        <v>31388</v>
      </c>
      <c r="F57" s="491">
        <v>40500</v>
      </c>
      <c r="G57" s="491">
        <v>51667</v>
      </c>
      <c r="H57" s="491">
        <v>84319</v>
      </c>
      <c r="I57" s="543">
        <v>95515</v>
      </c>
      <c r="J57" s="543">
        <v>89875</v>
      </c>
      <c r="K57" s="543">
        <v>79687</v>
      </c>
      <c r="L57" s="543">
        <v>48237</v>
      </c>
      <c r="M57" s="543">
        <v>57496</v>
      </c>
      <c r="N57" s="543">
        <v>29984</v>
      </c>
      <c r="O57" s="543">
        <v>36453</v>
      </c>
      <c r="P57" s="543">
        <v>23994</v>
      </c>
      <c r="Q57" s="543">
        <v>27780</v>
      </c>
      <c r="R57" s="543">
        <v>33600</v>
      </c>
      <c r="S57" s="543">
        <v>46503</v>
      </c>
      <c r="T57" s="543">
        <v>74423</v>
      </c>
      <c r="U57" s="543">
        <v>81674</v>
      </c>
      <c r="V57" s="543">
        <f>Feb!$G27</f>
        <v>68846</v>
      </c>
      <c r="W57" s="543">
        <f>Mar!$G27</f>
        <v>57610</v>
      </c>
      <c r="X57" s="543">
        <f>Apr!$G27</f>
        <v>49631</v>
      </c>
      <c r="Y57" s="543">
        <f>May!$G27</f>
        <v>46984</v>
      </c>
      <c r="Z57" s="543">
        <f>Jun!$G27</f>
        <v>30135</v>
      </c>
      <c r="AA57" s="543">
        <f>Jul!$G27</f>
        <v>28317</v>
      </c>
      <c r="AB57" s="543">
        <f>Aug!$G27</f>
        <v>27313</v>
      </c>
      <c r="AC57" s="543">
        <f>Sep!$G27</f>
        <v>29790</v>
      </c>
      <c r="AD57" s="543">
        <f>Oct!$G28</f>
        <v>36487</v>
      </c>
      <c r="AE57" s="543">
        <f>Nov!$G28</f>
        <v>47656</v>
      </c>
      <c r="AF57" s="543">
        <f>Dec!$G27</f>
        <v>0</v>
      </c>
    </row>
    <row r="58" spans="1:38">
      <c r="A58" s="483"/>
      <c r="B58" s="481" t="s">
        <v>42</v>
      </c>
      <c r="C58" s="491">
        <f t="shared" si="36"/>
        <v>0</v>
      </c>
      <c r="D58" s="491">
        <f t="shared" si="35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f>Feb!$G28</f>
        <v>0</v>
      </c>
      <c r="W58" s="543">
        <f>Mar!$G28</f>
        <v>0</v>
      </c>
      <c r="X58" s="543">
        <f>Apr!$G28</f>
        <v>0</v>
      </c>
      <c r="Y58" s="543">
        <f>May!$G28</f>
        <v>0</v>
      </c>
      <c r="Z58" s="543">
        <f>Jun!$G28</f>
        <v>0</v>
      </c>
      <c r="AA58" s="543">
        <f>Jul!$G28</f>
        <v>0</v>
      </c>
      <c r="AB58" s="543">
        <f>Aug!$G28</f>
        <v>0</v>
      </c>
      <c r="AC58" s="543">
        <f>Sep!$G28</f>
        <v>0</v>
      </c>
      <c r="AD58" s="543">
        <f>Oct!$G29</f>
        <v>0</v>
      </c>
      <c r="AE58" s="543">
        <f>Nov!$G29</f>
        <v>0</v>
      </c>
      <c r="AF58" s="543">
        <f>Dec!$G28</f>
        <v>0</v>
      </c>
    </row>
    <row r="59" spans="1:38">
      <c r="A59" s="483"/>
      <c r="B59" s="481" t="s">
        <v>43</v>
      </c>
      <c r="C59" s="491">
        <f t="shared" si="36"/>
        <v>871865</v>
      </c>
      <c r="D59" s="491">
        <f t="shared" si="35"/>
        <v>1097701</v>
      </c>
      <c r="E59" s="491">
        <v>54453</v>
      </c>
      <c r="F59" s="491">
        <v>68629</v>
      </c>
      <c r="G59" s="491">
        <v>142001</v>
      </c>
      <c r="H59" s="491">
        <v>132732</v>
      </c>
      <c r="I59" s="543">
        <v>149468</v>
      </c>
      <c r="J59" s="543">
        <v>140495</v>
      </c>
      <c r="K59" s="543">
        <v>132979</v>
      </c>
      <c r="L59" s="543">
        <v>91026</v>
      </c>
      <c r="M59" s="543">
        <v>83802</v>
      </c>
      <c r="N59" s="543">
        <v>58384</v>
      </c>
      <c r="O59" s="543">
        <v>45870</v>
      </c>
      <c r="P59" s="543">
        <v>32437</v>
      </c>
      <c r="Q59" s="543">
        <v>37881</v>
      </c>
      <c r="R59" s="543">
        <v>50626</v>
      </c>
      <c r="S59" s="543">
        <v>67642</v>
      </c>
      <c r="T59" s="543">
        <v>112489</v>
      </c>
      <c r="U59" s="543">
        <v>129251</v>
      </c>
      <c r="V59" s="543">
        <f>Feb!$G29</f>
        <v>123377</v>
      </c>
      <c r="W59" s="543">
        <f>Mar!$G29</f>
        <v>100117</v>
      </c>
      <c r="X59" s="543">
        <f>Apr!$G29</f>
        <v>81076</v>
      </c>
      <c r="Y59" s="543">
        <f>May!$G29</f>
        <v>83536</v>
      </c>
      <c r="Z59" s="543">
        <f>Jun!$G29</f>
        <v>56511</v>
      </c>
      <c r="AA59" s="543">
        <f>Jul!$G29</f>
        <v>13364</v>
      </c>
      <c r="AB59" s="543">
        <f>Aug!$G29</f>
        <v>68158</v>
      </c>
      <c r="AC59" s="543">
        <f>Sep!$G29</f>
        <v>45470</v>
      </c>
      <c r="AD59" s="543">
        <f>Oct!$G30</f>
        <v>96224</v>
      </c>
      <c r="AE59" s="543">
        <f>Nov!$G30</f>
        <v>74781</v>
      </c>
      <c r="AF59" s="543">
        <f>Dec!$G29</f>
        <v>0</v>
      </c>
    </row>
    <row r="60" spans="1:38">
      <c r="A60" s="483"/>
      <c r="B60" s="481" t="s">
        <v>74</v>
      </c>
      <c r="C60" s="491">
        <f t="shared" si="36"/>
        <v>26235211</v>
      </c>
      <c r="D60" s="491">
        <f t="shared" si="35"/>
        <v>30501971</v>
      </c>
      <c r="E60" s="491">
        <v>1818699</v>
      </c>
      <c r="F60" s="491">
        <v>2531895</v>
      </c>
      <c r="G60" s="491">
        <v>2936207</v>
      </c>
      <c r="H60" s="491">
        <v>3675604</v>
      </c>
      <c r="I60" s="543">
        <v>3517013</v>
      </c>
      <c r="J60" s="543">
        <v>3103551</v>
      </c>
      <c r="K60" s="543">
        <v>2882510</v>
      </c>
      <c r="L60" s="543">
        <v>2426511</v>
      </c>
      <c r="M60" s="543">
        <v>2096539</v>
      </c>
      <c r="N60" s="543">
        <v>1865473</v>
      </c>
      <c r="O60" s="543">
        <v>1934510</v>
      </c>
      <c r="P60" s="543">
        <v>1781233</v>
      </c>
      <c r="Q60" s="543">
        <v>1975142</v>
      </c>
      <c r="R60" s="543">
        <v>2307678</v>
      </c>
      <c r="S60" s="543">
        <v>3052956</v>
      </c>
      <c r="T60" s="543">
        <v>3180451</v>
      </c>
      <c r="U60" s="543">
        <v>3286166</v>
      </c>
      <c r="V60" s="543">
        <f>Feb!$G30</f>
        <v>2735718</v>
      </c>
      <c r="W60" s="543">
        <f>Mar!$G30</f>
        <v>2608561</v>
      </c>
      <c r="X60" s="543">
        <f>Apr!$G30</f>
        <v>2436951</v>
      </c>
      <c r="Y60" s="543">
        <f>May!$G30</f>
        <v>2203136</v>
      </c>
      <c r="Z60" s="543">
        <f>Jun!$G30</f>
        <v>1941783</v>
      </c>
      <c r="AA60" s="543">
        <f>Jul!$G30</f>
        <v>1912819</v>
      </c>
      <c r="AB60" s="543">
        <f>Aug!$G30</f>
        <v>1943542</v>
      </c>
      <c r="AC60" s="543">
        <f>Sep!$G30</f>
        <v>1945064</v>
      </c>
      <c r="AD60" s="543">
        <f>Oct!$G31</f>
        <v>2201297</v>
      </c>
      <c r="AE60" s="543">
        <f>Nov!$G31</f>
        <v>3020174</v>
      </c>
      <c r="AF60" s="543">
        <f>Dec!$G30</f>
        <v>0</v>
      </c>
    </row>
    <row r="61" spans="1:38" ht="16" thickBot="1">
      <c r="A61" s="483"/>
      <c r="B61" s="481" t="s">
        <v>21</v>
      </c>
      <c r="C61" s="542">
        <f t="shared" si="36"/>
        <v>150964902</v>
      </c>
      <c r="D61" s="542">
        <f t="shared" si="35"/>
        <v>202840773</v>
      </c>
      <c r="E61" s="542">
        <f>SUM(E53:E60)</f>
        <v>6495675</v>
      </c>
      <c r="F61" s="542">
        <f>SUM(F53:F60)</f>
        <v>16361170</v>
      </c>
      <c r="G61" s="542">
        <f t="shared" ref="G61:H61" si="37">SUM(G53:G60)</f>
        <v>24248041</v>
      </c>
      <c r="H61" s="542">
        <f t="shared" si="37"/>
        <v>34635509</v>
      </c>
      <c r="I61" s="542">
        <v>32004448</v>
      </c>
      <c r="J61" s="542">
        <v>30962664</v>
      </c>
      <c r="K61" s="542">
        <v>22927995</v>
      </c>
      <c r="L61" s="542">
        <v>14139728</v>
      </c>
      <c r="M61" s="542">
        <v>8453696</v>
      </c>
      <c r="N61" s="542">
        <v>6603119</v>
      </c>
      <c r="O61" s="542">
        <v>5839672</v>
      </c>
      <c r="P61" s="542">
        <v>5582149</v>
      </c>
      <c r="Q61" s="542">
        <v>6839096</v>
      </c>
      <c r="R61" s="542">
        <v>10604656</v>
      </c>
      <c r="S61" s="542">
        <v>25650139</v>
      </c>
      <c r="T61" s="542">
        <v>28846914</v>
      </c>
      <c r="U61" s="542">
        <v>30094197</v>
      </c>
      <c r="V61" s="542">
        <f t="shared" ref="V61:AF61" si="38">SUM(V53:V60)</f>
        <v>22001617</v>
      </c>
      <c r="W61" s="542">
        <f t="shared" si="38"/>
        <v>17611817</v>
      </c>
      <c r="X61" s="542">
        <f t="shared" si="38"/>
        <v>14163392</v>
      </c>
      <c r="Y61" s="542">
        <f t="shared" si="38"/>
        <v>7782410</v>
      </c>
      <c r="Z61" s="542">
        <f t="shared" si="38"/>
        <v>5881684</v>
      </c>
      <c r="AA61" s="542">
        <f t="shared" si="38"/>
        <v>5669948</v>
      </c>
      <c r="AB61" s="542">
        <f t="shared" si="38"/>
        <v>5554978</v>
      </c>
      <c r="AC61" s="542">
        <f t="shared" si="38"/>
        <v>7484702</v>
      </c>
      <c r="AD61" s="542">
        <f t="shared" si="38"/>
        <v>10157621</v>
      </c>
      <c r="AE61" s="542">
        <f t="shared" si="38"/>
        <v>24562536</v>
      </c>
      <c r="AF61" s="542">
        <f t="shared" si="38"/>
        <v>0</v>
      </c>
    </row>
    <row r="62" spans="1:38" ht="16" thickTop="1">
      <c r="A62" s="483"/>
      <c r="B62" s="481" t="s">
        <v>269</v>
      </c>
      <c r="C62" s="491">
        <f>SUM(U62:AF62)</f>
        <v>116244745</v>
      </c>
      <c r="D62" s="491">
        <f t="shared" si="35"/>
        <v>202840773</v>
      </c>
      <c r="E62" s="491">
        <v>6495675</v>
      </c>
      <c r="F62" s="491">
        <v>16361170</v>
      </c>
      <c r="G62" s="491">
        <v>24248041</v>
      </c>
      <c r="H62" s="491">
        <v>34635509</v>
      </c>
      <c r="I62" s="491">
        <v>32004448</v>
      </c>
      <c r="J62" s="491">
        <v>30962664</v>
      </c>
      <c r="K62" s="491">
        <v>22927995</v>
      </c>
      <c r="L62" s="491">
        <v>14139728</v>
      </c>
      <c r="M62" s="491">
        <v>8453696</v>
      </c>
      <c r="N62" s="491">
        <v>6603119</v>
      </c>
      <c r="O62" s="491">
        <v>5839672</v>
      </c>
      <c r="P62" s="491">
        <v>5582149</v>
      </c>
      <c r="Q62" s="491">
        <v>6839096</v>
      </c>
      <c r="R62" s="491">
        <v>10604656</v>
      </c>
      <c r="S62" s="491">
        <v>25650139</v>
      </c>
      <c r="T62" s="491">
        <v>28846914</v>
      </c>
      <c r="U62" s="491">
        <v>30094197</v>
      </c>
      <c r="V62" s="491">
        <v>22001617</v>
      </c>
      <c r="W62" s="491">
        <f>Mar!G32</f>
        <v>17611817</v>
      </c>
      <c r="X62" s="491">
        <v>14163392</v>
      </c>
      <c r="Y62" s="491">
        <v>7782410</v>
      </c>
      <c r="Z62" s="491">
        <v>5881684</v>
      </c>
      <c r="AA62" s="491">
        <v>5669948</v>
      </c>
      <c r="AB62" s="691">
        <v>5554978</v>
      </c>
      <c r="AC62" s="491">
        <v>7484702</v>
      </c>
      <c r="AD62" s="491"/>
      <c r="AE62" s="491"/>
      <c r="AF62" s="491"/>
      <c r="AG62" s="491"/>
    </row>
    <row r="63" spans="1:38">
      <c r="A63" s="483" t="s">
        <v>22</v>
      </c>
      <c r="E63" s="535"/>
      <c r="F63" s="535"/>
      <c r="G63" s="535"/>
      <c r="H63" s="535"/>
      <c r="I63" s="535"/>
      <c r="J63" s="535"/>
      <c r="K63" s="535"/>
      <c r="L63" s="535"/>
      <c r="M63" s="535"/>
      <c r="N63" s="535"/>
      <c r="O63" s="535"/>
      <c r="P63" s="535"/>
      <c r="Q63" s="535"/>
      <c r="R63" s="535"/>
      <c r="S63" s="535"/>
      <c r="T63" s="535"/>
      <c r="U63" s="535"/>
      <c r="V63" s="535"/>
      <c r="W63" s="535"/>
      <c r="X63" s="535"/>
      <c r="Y63" s="535"/>
      <c r="Z63" s="535"/>
      <c r="AA63" s="535"/>
      <c r="AB63" s="535"/>
      <c r="AC63" s="535"/>
      <c r="AD63" s="535"/>
      <c r="AE63" s="535"/>
      <c r="AF63" s="535"/>
      <c r="AI63" s="539"/>
    </row>
    <row r="64" spans="1:38">
      <c r="A64" s="484">
        <v>191025</v>
      </c>
      <c r="B64" s="485" t="s">
        <v>256</v>
      </c>
      <c r="E64" s="484">
        <v>201309</v>
      </c>
      <c r="F64" s="484">
        <f>E64+1</f>
        <v>201310</v>
      </c>
      <c r="G64" s="484">
        <f>F64+1</f>
        <v>201311</v>
      </c>
      <c r="H64" s="484">
        <f>G64+1</f>
        <v>201312</v>
      </c>
      <c r="I64" s="484">
        <v>201401</v>
      </c>
      <c r="J64" s="484">
        <v>201402</v>
      </c>
      <c r="K64" s="484">
        <v>201403</v>
      </c>
      <c r="L64" s="484">
        <v>201404</v>
      </c>
      <c r="M64" s="484">
        <v>201405</v>
      </c>
      <c r="N64" s="484">
        <v>201406</v>
      </c>
      <c r="O64" s="484">
        <v>201407</v>
      </c>
      <c r="P64" s="484">
        <v>201408</v>
      </c>
      <c r="Q64" s="484">
        <v>201409</v>
      </c>
      <c r="R64" s="484">
        <v>201410</v>
      </c>
      <c r="S64" s="484">
        <v>201411</v>
      </c>
      <c r="T64" s="484">
        <v>201412</v>
      </c>
      <c r="U64" s="484">
        <v>201501</v>
      </c>
      <c r="V64" s="484">
        <f t="shared" ref="V64:AD64" si="39">U64+1</f>
        <v>201502</v>
      </c>
      <c r="W64" s="484">
        <f t="shared" si="39"/>
        <v>201503</v>
      </c>
      <c r="X64" s="484">
        <f t="shared" si="39"/>
        <v>201504</v>
      </c>
      <c r="Y64" s="484">
        <f t="shared" si="39"/>
        <v>201505</v>
      </c>
      <c r="Z64" s="484">
        <f t="shared" si="39"/>
        <v>201506</v>
      </c>
      <c r="AA64" s="484">
        <f t="shared" si="39"/>
        <v>201507</v>
      </c>
      <c r="AB64" s="484">
        <f t="shared" si="39"/>
        <v>201508</v>
      </c>
      <c r="AC64" s="484">
        <f t="shared" si="39"/>
        <v>201509</v>
      </c>
      <c r="AD64" s="484">
        <f t="shared" si="39"/>
        <v>201510</v>
      </c>
      <c r="AE64" s="484">
        <f>AD64+1</f>
        <v>201511</v>
      </c>
      <c r="AF64" s="484">
        <f t="shared" ref="AF64" si="40">AE64+1</f>
        <v>201512</v>
      </c>
    </row>
    <row r="65" spans="1:39">
      <c r="A65" s="483"/>
      <c r="B65" s="481" t="s">
        <v>37</v>
      </c>
      <c r="E65" s="492">
        <v>-2.1900000000000001E-3</v>
      </c>
      <c r="F65" s="492">
        <v>-2.1900000000000001E-3</v>
      </c>
      <c r="G65" s="496" t="s">
        <v>270</v>
      </c>
      <c r="H65" s="496" t="s">
        <v>270</v>
      </c>
      <c r="I65" s="492">
        <v>-3.8999999999999999E-4</v>
      </c>
      <c r="J65" s="492">
        <v>-3.8999999999999999E-4</v>
      </c>
      <c r="K65" s="492">
        <v>-3.8999999999999999E-4</v>
      </c>
      <c r="L65" s="492">
        <v>-3.8999999999999999E-4</v>
      </c>
      <c r="M65" s="492">
        <v>-3.8999999999999999E-4</v>
      </c>
      <c r="N65" s="492">
        <v>-3.8999999999999999E-4</v>
      </c>
      <c r="O65" s="492">
        <v>-3.8999999999999999E-4</v>
      </c>
      <c r="P65" s="492">
        <v>-3.8999999999999999E-4</v>
      </c>
      <c r="Q65" s="492">
        <v>-3.8999999999999999E-4</v>
      </c>
      <c r="R65" s="492">
        <v>-3.8999999999999999E-4</v>
      </c>
      <c r="S65" s="496" t="s">
        <v>270</v>
      </c>
      <c r="T65" s="496" t="s">
        <v>270</v>
      </c>
      <c r="U65" s="492">
        <v>2.5000000000000001E-4</v>
      </c>
      <c r="V65" s="492">
        <v>2.5000000000000001E-4</v>
      </c>
      <c r="W65" s="492">
        <v>2.5000000000000001E-4</v>
      </c>
      <c r="X65" s="492">
        <v>2.5000000000000001E-4</v>
      </c>
      <c r="Y65" s="492">
        <v>2.5000000000000001E-4</v>
      </c>
      <c r="Z65" s="492">
        <v>2.5000000000000001E-4</v>
      </c>
      <c r="AA65" s="492">
        <v>2.5000000000000001E-4</v>
      </c>
      <c r="AB65" s="492">
        <v>2.5000000000000001E-4</v>
      </c>
      <c r="AC65" s="492">
        <v>2.5000000000000001E-4</v>
      </c>
      <c r="AD65" s="492">
        <v>2.5000000000000001E-4</v>
      </c>
      <c r="AE65" s="496" t="s">
        <v>270</v>
      </c>
      <c r="AF65" s="496" t="s">
        <v>270</v>
      </c>
    </row>
    <row r="66" spans="1:39">
      <c r="A66" s="483"/>
      <c r="B66" s="481" t="s">
        <v>38</v>
      </c>
      <c r="E66" s="492">
        <v>-2.1900000000000001E-3</v>
      </c>
      <c r="F66" s="492">
        <v>-2.1900000000000001E-3</v>
      </c>
      <c r="G66" s="496" t="s">
        <v>270</v>
      </c>
      <c r="H66" s="496" t="s">
        <v>270</v>
      </c>
      <c r="I66" s="492">
        <v>-3.8999999999999999E-4</v>
      </c>
      <c r="J66" s="492">
        <v>-3.8999999999999999E-4</v>
      </c>
      <c r="K66" s="492">
        <v>-3.8999999999999999E-4</v>
      </c>
      <c r="L66" s="492">
        <v>-3.8999999999999999E-4</v>
      </c>
      <c r="M66" s="492">
        <v>-3.8999999999999999E-4</v>
      </c>
      <c r="N66" s="492">
        <v>-3.8999999999999999E-4</v>
      </c>
      <c r="O66" s="492">
        <v>-3.8999999999999999E-4</v>
      </c>
      <c r="P66" s="492">
        <v>-3.8999999999999999E-4</v>
      </c>
      <c r="Q66" s="492">
        <v>-3.8999999999999999E-4</v>
      </c>
      <c r="R66" s="492">
        <v>-3.8999999999999999E-4</v>
      </c>
      <c r="S66" s="496" t="s">
        <v>270</v>
      </c>
      <c r="T66" s="496" t="s">
        <v>270</v>
      </c>
      <c r="U66" s="492">
        <v>2.5000000000000001E-4</v>
      </c>
      <c r="V66" s="492">
        <v>2.5000000000000001E-4</v>
      </c>
      <c r="W66" s="492">
        <v>2.5000000000000001E-4</v>
      </c>
      <c r="X66" s="492">
        <v>2.5000000000000001E-4</v>
      </c>
      <c r="Y66" s="492">
        <v>2.5000000000000001E-4</v>
      </c>
      <c r="Z66" s="492">
        <v>2.5000000000000001E-4</v>
      </c>
      <c r="AA66" s="492">
        <v>2.5000000000000001E-4</v>
      </c>
      <c r="AB66" s="492">
        <v>2.5000000000000001E-4</v>
      </c>
      <c r="AC66" s="492">
        <v>2.5000000000000001E-4</v>
      </c>
      <c r="AD66" s="492">
        <v>2.5000000000000001E-4</v>
      </c>
      <c r="AE66" s="496" t="s">
        <v>270</v>
      </c>
      <c r="AF66" s="496" t="s">
        <v>270</v>
      </c>
    </row>
    <row r="67" spans="1:39">
      <c r="A67" s="483"/>
      <c r="B67" s="481" t="s">
        <v>39</v>
      </c>
      <c r="E67" s="492">
        <v>-2.1900000000000001E-3</v>
      </c>
      <c r="F67" s="492">
        <v>-2.1900000000000001E-3</v>
      </c>
      <c r="G67" s="496" t="s">
        <v>270</v>
      </c>
      <c r="H67" s="496" t="s">
        <v>270</v>
      </c>
      <c r="I67" s="492">
        <v>-3.8999999999999999E-4</v>
      </c>
      <c r="J67" s="492">
        <v>-3.8999999999999999E-4</v>
      </c>
      <c r="K67" s="492">
        <v>-3.8999999999999999E-4</v>
      </c>
      <c r="L67" s="492">
        <v>-3.8999999999999999E-4</v>
      </c>
      <c r="M67" s="492">
        <v>-3.8999999999999999E-4</v>
      </c>
      <c r="N67" s="492">
        <v>-3.8999999999999999E-4</v>
      </c>
      <c r="O67" s="492">
        <v>-3.8999999999999999E-4</v>
      </c>
      <c r="P67" s="492">
        <v>-3.8999999999999999E-4</v>
      </c>
      <c r="Q67" s="492">
        <v>-3.8999999999999999E-4</v>
      </c>
      <c r="R67" s="492">
        <v>-3.8999999999999999E-4</v>
      </c>
      <c r="S67" s="496" t="s">
        <v>270</v>
      </c>
      <c r="T67" s="496" t="s">
        <v>270</v>
      </c>
      <c r="U67" s="492">
        <v>2.5000000000000001E-4</v>
      </c>
      <c r="V67" s="492">
        <v>2.5000000000000001E-4</v>
      </c>
      <c r="W67" s="492">
        <v>2.5000000000000001E-4</v>
      </c>
      <c r="X67" s="492">
        <v>2.5000000000000001E-4</v>
      </c>
      <c r="Y67" s="492">
        <v>2.5000000000000001E-4</v>
      </c>
      <c r="Z67" s="492">
        <v>2.5000000000000001E-4</v>
      </c>
      <c r="AA67" s="492">
        <v>2.5000000000000001E-4</v>
      </c>
      <c r="AB67" s="492">
        <v>2.5000000000000001E-4</v>
      </c>
      <c r="AC67" s="492">
        <v>2.5000000000000001E-4</v>
      </c>
      <c r="AD67" s="492">
        <v>2.5000000000000001E-4</v>
      </c>
      <c r="AE67" s="496" t="s">
        <v>270</v>
      </c>
      <c r="AF67" s="496" t="s">
        <v>270</v>
      </c>
    </row>
    <row r="68" spans="1:39">
      <c r="A68" s="483"/>
      <c r="B68" s="481" t="s">
        <v>40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270</v>
      </c>
      <c r="AF68" s="496" t="s">
        <v>270</v>
      </c>
    </row>
    <row r="69" spans="1:39">
      <c r="A69" s="483"/>
      <c r="B69" s="481" t="s">
        <v>41</v>
      </c>
      <c r="E69" s="492">
        <v>-2.1900000000000001E-3</v>
      </c>
      <c r="F69" s="492">
        <v>-2.1900000000000001E-3</v>
      </c>
      <c r="G69" s="496" t="s">
        <v>270</v>
      </c>
      <c r="H69" s="496" t="s">
        <v>270</v>
      </c>
      <c r="I69" s="492">
        <v>-3.8999999999999999E-4</v>
      </c>
      <c r="J69" s="492">
        <v>-3.8999999999999999E-4</v>
      </c>
      <c r="K69" s="492">
        <v>-3.8999999999999999E-4</v>
      </c>
      <c r="L69" s="492">
        <v>-3.8999999999999999E-4</v>
      </c>
      <c r="M69" s="492">
        <v>-3.8999999999999999E-4</v>
      </c>
      <c r="N69" s="492">
        <v>-3.8999999999999999E-4</v>
      </c>
      <c r="O69" s="492">
        <v>-3.8999999999999999E-4</v>
      </c>
      <c r="P69" s="492">
        <v>-3.8999999999999999E-4</v>
      </c>
      <c r="Q69" s="492">
        <v>-3.8999999999999999E-4</v>
      </c>
      <c r="R69" s="492">
        <v>-3.8999999999999999E-4</v>
      </c>
      <c r="S69" s="496" t="s">
        <v>270</v>
      </c>
      <c r="T69" s="496" t="s">
        <v>270</v>
      </c>
      <c r="U69" s="492">
        <v>2.5000000000000001E-4</v>
      </c>
      <c r="V69" s="492">
        <v>2.5000000000000001E-4</v>
      </c>
      <c r="W69" s="492">
        <v>2.5000000000000001E-4</v>
      </c>
      <c r="X69" s="492">
        <v>2.5000000000000001E-4</v>
      </c>
      <c r="Y69" s="492">
        <v>2.5000000000000001E-4</v>
      </c>
      <c r="Z69" s="492">
        <v>2.5000000000000001E-4</v>
      </c>
      <c r="AA69" s="492">
        <v>2.5000000000000001E-4</v>
      </c>
      <c r="AB69" s="492">
        <v>2.5000000000000001E-4</v>
      </c>
      <c r="AC69" s="492">
        <v>2.5000000000000001E-4</v>
      </c>
      <c r="AD69" s="492">
        <v>2.5000000000000001E-4</v>
      </c>
      <c r="AE69" s="496" t="s">
        <v>270</v>
      </c>
      <c r="AF69" s="496" t="s">
        <v>270</v>
      </c>
    </row>
    <row r="70" spans="1:39" ht="16" thickBot="1">
      <c r="A70" s="483"/>
      <c r="B70" s="481" t="s">
        <v>42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270</v>
      </c>
      <c r="AF70" s="496" t="s">
        <v>270</v>
      </c>
    </row>
    <row r="71" spans="1:39" ht="16" thickBot="1">
      <c r="A71" s="483"/>
      <c r="B71" s="481" t="s">
        <v>43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270</v>
      </c>
      <c r="AF71" s="496" t="s">
        <v>270</v>
      </c>
      <c r="AH71" s="522">
        <f>AH4</f>
        <v>201509</v>
      </c>
      <c r="AI71" s="531"/>
      <c r="AJ71" s="523"/>
      <c r="AK71" s="523"/>
      <c r="AL71" s="523"/>
      <c r="AM71" s="524"/>
    </row>
    <row r="72" spans="1:39">
      <c r="A72" s="483"/>
      <c r="B72" s="481" t="s">
        <v>74</v>
      </c>
      <c r="E72" s="492">
        <v>-2.0000000000000001E-4</v>
      </c>
      <c r="F72" s="492">
        <v>-2.0000000000000001E-4</v>
      </c>
      <c r="G72" s="496" t="s">
        <v>270</v>
      </c>
      <c r="H72" s="496" t="s">
        <v>270</v>
      </c>
      <c r="I72" s="492">
        <v>-4.0000000000000003E-5</v>
      </c>
      <c r="J72" s="492">
        <v>-4.0000000000000003E-5</v>
      </c>
      <c r="K72" s="492">
        <v>-4.0000000000000003E-5</v>
      </c>
      <c r="L72" s="492">
        <v>-4.0000000000000003E-5</v>
      </c>
      <c r="M72" s="492">
        <v>-4.0000000000000003E-5</v>
      </c>
      <c r="N72" s="492">
        <v>-4.0000000000000003E-5</v>
      </c>
      <c r="O72" s="492">
        <v>-4.0000000000000003E-5</v>
      </c>
      <c r="P72" s="492">
        <v>-4.0000000000000003E-5</v>
      </c>
      <c r="Q72" s="492">
        <v>-4.0000000000000003E-5</v>
      </c>
      <c r="R72" s="492">
        <v>-4.0000000000000003E-5</v>
      </c>
      <c r="S72" s="496" t="s">
        <v>270</v>
      </c>
      <c r="T72" s="496" t="s">
        <v>270</v>
      </c>
      <c r="U72" s="492">
        <v>4.0000000000000003E-5</v>
      </c>
      <c r="V72" s="492">
        <v>4.0000000000000003E-5</v>
      </c>
      <c r="W72" s="492">
        <v>4.0000000000000003E-5</v>
      </c>
      <c r="X72" s="492">
        <v>4.0000000000000003E-5</v>
      </c>
      <c r="Y72" s="492">
        <v>4.0000000000000003E-5</v>
      </c>
      <c r="Z72" s="492">
        <v>4.0000000000000003E-5</v>
      </c>
      <c r="AA72" s="492">
        <v>4.0000000000000003E-5</v>
      </c>
      <c r="AB72" s="492">
        <v>4.0000000000000003E-5</v>
      </c>
      <c r="AC72" s="492">
        <v>4.0000000000000003E-5</v>
      </c>
      <c r="AD72" s="492">
        <v>4.0000000000000003E-5</v>
      </c>
      <c r="AE72" s="496" t="s">
        <v>270</v>
      </c>
      <c r="AF72" s="496" t="s">
        <v>270</v>
      </c>
      <c r="AH72" s="499" t="s">
        <v>302</v>
      </c>
      <c r="AI72" s="528">
        <v>191025</v>
      </c>
      <c r="AJ72" s="358" t="s">
        <v>288</v>
      </c>
      <c r="AK72" s="358" t="s">
        <v>289</v>
      </c>
      <c r="AL72" s="381">
        <f>IF((SUMIF(U74:AF74,AH71,U76:AF76))&gt;0,(SUMIF(U74:AF74,AH71,U76:AF76)),0)</f>
        <v>1462.7120600000003</v>
      </c>
      <c r="AM72" s="500">
        <f>IF((SUMIF(U74:AF74,AH71,U76:AF76))&lt;0,-(SUMIF(U74:AF74,AH71,U76:AF76)),0)</f>
        <v>0</v>
      </c>
    </row>
    <row r="73" spans="1:39">
      <c r="A73" s="483" t="s">
        <v>293</v>
      </c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92"/>
      <c r="Y73" s="492"/>
      <c r="Z73" s="492"/>
      <c r="AA73" s="492"/>
      <c r="AB73" s="492"/>
      <c r="AC73" s="492"/>
      <c r="AD73" s="492"/>
      <c r="AE73" s="492"/>
      <c r="AF73" s="492"/>
      <c r="AH73" s="499" t="s">
        <v>303</v>
      </c>
      <c r="AI73" s="528">
        <v>805110</v>
      </c>
      <c r="AJ73" s="358" t="s">
        <v>288</v>
      </c>
      <c r="AK73" s="358" t="s">
        <v>289</v>
      </c>
      <c r="AL73" s="381">
        <f>IF((SUMIF(U74:AF74,AH71,U76:AF76))&lt;0,-(SUMIF(U74:AF74,AH71,U76:AF76)),0)</f>
        <v>0</v>
      </c>
      <c r="AM73" s="500">
        <f>IF((SUMIF(U74:AF74,AH71,U76:AF76))&gt;0,(SUMIF(U74:AF74,AH71,U76:AF76)),0)</f>
        <v>1462.7120600000003</v>
      </c>
    </row>
    <row r="74" spans="1:39" s="483" customFormat="1">
      <c r="A74" s="484">
        <v>191025</v>
      </c>
      <c r="B74" s="485" t="s">
        <v>256</v>
      </c>
      <c r="C74" s="486" t="s">
        <v>251</v>
      </c>
      <c r="D74" s="689" t="s">
        <v>252</v>
      </c>
      <c r="E74" s="484">
        <v>201309</v>
      </c>
      <c r="F74" s="484">
        <f>E74+1</f>
        <v>201310</v>
      </c>
      <c r="G74" s="484">
        <f>F74+1</f>
        <v>201311</v>
      </c>
      <c r="H74" s="484">
        <f>G74+1</f>
        <v>201312</v>
      </c>
      <c r="I74" s="484">
        <v>201401</v>
      </c>
      <c r="J74" s="484">
        <v>201402</v>
      </c>
      <c r="K74" s="484">
        <v>201403</v>
      </c>
      <c r="L74" s="484">
        <v>201404</v>
      </c>
      <c r="M74" s="484">
        <v>201405</v>
      </c>
      <c r="N74" s="484">
        <v>201406</v>
      </c>
      <c r="O74" s="484">
        <v>201407</v>
      </c>
      <c r="P74" s="484">
        <v>201408</v>
      </c>
      <c r="Q74" s="484">
        <v>201409</v>
      </c>
      <c r="R74" s="484">
        <v>201410</v>
      </c>
      <c r="S74" s="484">
        <v>201411</v>
      </c>
      <c r="T74" s="484">
        <v>201412</v>
      </c>
      <c r="U74" s="484">
        <v>201501</v>
      </c>
      <c r="V74" s="484">
        <f t="shared" ref="V74:AD74" si="41">U74+1</f>
        <v>201502</v>
      </c>
      <c r="W74" s="484">
        <f t="shared" si="41"/>
        <v>201503</v>
      </c>
      <c r="X74" s="484">
        <f t="shared" si="41"/>
        <v>201504</v>
      </c>
      <c r="Y74" s="484">
        <f t="shared" si="41"/>
        <v>201505</v>
      </c>
      <c r="Z74" s="484">
        <f t="shared" si="41"/>
        <v>201506</v>
      </c>
      <c r="AA74" s="484">
        <f t="shared" si="41"/>
        <v>201507</v>
      </c>
      <c r="AB74" s="484">
        <f t="shared" si="41"/>
        <v>201508</v>
      </c>
      <c r="AC74" s="484">
        <f t="shared" si="41"/>
        <v>201509</v>
      </c>
      <c r="AD74" s="484">
        <f t="shared" si="41"/>
        <v>201510</v>
      </c>
      <c r="AE74" s="484">
        <f>AD74+1</f>
        <v>201511</v>
      </c>
      <c r="AF74" s="484">
        <f t="shared" ref="AF74" si="42">AE74+1</f>
        <v>201512</v>
      </c>
      <c r="AH74" s="499" t="s">
        <v>273</v>
      </c>
      <c r="AI74" s="528"/>
      <c r="AJ74" s="358"/>
      <c r="AK74" s="358"/>
      <c r="AL74" s="381">
        <v>0</v>
      </c>
      <c r="AM74" s="500">
        <v>0</v>
      </c>
    </row>
    <row r="75" spans="1:39" ht="16" thickBot="1">
      <c r="A75" s="493"/>
      <c r="B75" s="481" t="s">
        <v>253</v>
      </c>
      <c r="E75" s="482">
        <v>49539.047030000002</v>
      </c>
      <c r="F75" s="482">
        <f>E78</f>
        <v>38932.729789999998</v>
      </c>
      <c r="G75" s="482">
        <f>F78</f>
        <v>8140.2385399999985</v>
      </c>
      <c r="H75" s="482">
        <f>G78</f>
        <v>-693.68146000000161</v>
      </c>
      <c r="I75" s="482">
        <v>-13695.721460000002</v>
      </c>
      <c r="J75" s="482">
        <v>-24946.501630000002</v>
      </c>
      <c r="K75" s="482">
        <v>-35935.697740000003</v>
      </c>
      <c r="L75" s="482">
        <v>-43868.737290000005</v>
      </c>
      <c r="M75" s="482">
        <v>-48533.952360000003</v>
      </c>
      <c r="N75" s="482">
        <v>-51097.105150000003</v>
      </c>
      <c r="O75" s="482">
        <v>-53019.406010000006</v>
      </c>
      <c r="P75" s="482">
        <v>-54619.79959000001</v>
      </c>
      <c r="Q75" s="482">
        <v>-56173.40615000001</v>
      </c>
      <c r="R75" s="482">
        <v>-58149.353890000013</v>
      </c>
      <c r="S75" s="482">
        <v>-61477.482430000011</v>
      </c>
      <c r="T75" s="482">
        <v>-56200.445640000013</v>
      </c>
      <c r="U75" s="482">
        <v>-49897.475640000011</v>
      </c>
      <c r="V75" s="482">
        <f>U78</f>
        <v>-43064.021250000013</v>
      </c>
      <c r="W75" s="482">
        <f t="shared" ref="W75:AD75" si="43">V78</f>
        <v>-38138.117780000015</v>
      </c>
      <c r="X75" s="482">
        <f t="shared" si="43"/>
        <v>-34282.961340000016</v>
      </c>
      <c r="Y75" s="482">
        <f t="shared" si="43"/>
        <v>-31253.873050000017</v>
      </c>
      <c r="Z75" s="482">
        <f t="shared" si="43"/>
        <v>-29770.929110000015</v>
      </c>
      <c r="AA75" s="482">
        <f t="shared" si="43"/>
        <v>-28708.282540000015</v>
      </c>
      <c r="AB75" s="482">
        <f t="shared" si="43"/>
        <v>-27692.487530000013</v>
      </c>
      <c r="AC75" s="482">
        <f t="shared" si="43"/>
        <v>-26711.886850000014</v>
      </c>
      <c r="AD75" s="482">
        <f t="shared" si="43"/>
        <v>-25249.174790000012</v>
      </c>
      <c r="AE75" s="482">
        <f>AD78</f>
        <v>-23172.041910000011</v>
      </c>
      <c r="AF75" s="482">
        <f>AE78</f>
        <v>-23172.041910000011</v>
      </c>
      <c r="AH75" s="501" t="s">
        <v>273</v>
      </c>
      <c r="AI75" s="529"/>
      <c r="AJ75" s="502"/>
      <c r="AK75" s="502"/>
      <c r="AL75" s="503">
        <v>0</v>
      </c>
      <c r="AM75" s="521">
        <v>0</v>
      </c>
    </row>
    <row r="76" spans="1:39" ht="16" thickBot="1">
      <c r="B76" s="481" t="s">
        <v>23</v>
      </c>
      <c r="C76" s="482">
        <f>SUM(U76:AF76)</f>
        <v>26725.433730000008</v>
      </c>
      <c r="D76" s="494">
        <f>SUM(G76:R76)</f>
        <v>-69617.720970000009</v>
      </c>
      <c r="E76" s="482">
        <f>SUMPRODUCT(E53:E60,E65:E72)</f>
        <v>-10606.31724</v>
      </c>
      <c r="F76" s="482">
        <f>SUMPRODUCT(F53:F60,F65:F72)</f>
        <v>-30792.491249999999</v>
      </c>
      <c r="G76" s="482">
        <v>-8833.92</v>
      </c>
      <c r="H76" s="482">
        <v>-13002.04</v>
      </c>
      <c r="I76" s="482">
        <v>-11250.78017</v>
      </c>
      <c r="J76" s="482">
        <v>-10989.196110000001</v>
      </c>
      <c r="K76" s="482">
        <v>-7933.0395500000013</v>
      </c>
      <c r="L76" s="482">
        <v>-4665.2150699999993</v>
      </c>
      <c r="M76" s="482">
        <v>-2563.1527899999996</v>
      </c>
      <c r="N76" s="482">
        <v>-1922.3008600000003</v>
      </c>
      <c r="O76" s="482">
        <v>-1600.3935799999999</v>
      </c>
      <c r="P76" s="482">
        <v>-1553.6065599999997</v>
      </c>
      <c r="Q76" s="482">
        <v>-1975.9477400000001</v>
      </c>
      <c r="R76" s="482">
        <v>-3328.1285399999992</v>
      </c>
      <c r="S76" s="557">
        <v>5277.0367900000001</v>
      </c>
      <c r="T76" s="557">
        <v>6302.97</v>
      </c>
      <c r="U76" s="482">
        <v>6833.4543899999999</v>
      </c>
      <c r="V76" s="482">
        <f t="shared" ref="V76:AD76" si="44">SUMPRODUCT(V53:V60,V65:V72)</f>
        <v>4925.9034700000011</v>
      </c>
      <c r="W76" s="482">
        <f t="shared" si="44"/>
        <v>3855.1564400000007</v>
      </c>
      <c r="X76" s="482">
        <f t="shared" si="44"/>
        <v>3029.0882899999997</v>
      </c>
      <c r="Y76" s="482">
        <f t="shared" si="44"/>
        <v>1482.9439400000001</v>
      </c>
      <c r="Z76" s="482">
        <f t="shared" si="44"/>
        <v>1062.6465700000001</v>
      </c>
      <c r="AA76" s="482">
        <f t="shared" si="44"/>
        <v>1015.7950099999999</v>
      </c>
      <c r="AB76" s="482">
        <f t="shared" si="44"/>
        <v>980.60068000000001</v>
      </c>
      <c r="AC76" s="482">
        <f t="shared" si="44"/>
        <v>1462.7120600000003</v>
      </c>
      <c r="AD76" s="482">
        <f t="shared" si="44"/>
        <v>2077.1328800000001</v>
      </c>
      <c r="AE76" s="563"/>
      <c r="AF76" s="563"/>
      <c r="AH76" s="516"/>
      <c r="AI76" s="530"/>
      <c r="AJ76" s="517"/>
      <c r="AK76" s="517"/>
      <c r="AL76" s="517" t="s">
        <v>159</v>
      </c>
      <c r="AM76" s="518">
        <f>SUM(AL72:AL75)-SUM(AM72:AM75)</f>
        <v>0</v>
      </c>
    </row>
    <row r="77" spans="1:39">
      <c r="B77" s="481" t="s">
        <v>148</v>
      </c>
      <c r="C77" s="482">
        <f>SUM(I77:T77)</f>
        <v>0</v>
      </c>
      <c r="E77" s="482">
        <v>0</v>
      </c>
      <c r="F77" s="482">
        <v>0</v>
      </c>
      <c r="G77" s="482">
        <v>0</v>
      </c>
      <c r="H77" s="482">
        <v>0</v>
      </c>
      <c r="I77" s="482">
        <v>0</v>
      </c>
      <c r="J77" s="482">
        <v>0</v>
      </c>
      <c r="K77" s="482">
        <v>0</v>
      </c>
      <c r="L77" s="482">
        <v>0</v>
      </c>
      <c r="M77" s="482">
        <v>0</v>
      </c>
      <c r="N77" s="482">
        <v>0</v>
      </c>
      <c r="O77" s="482">
        <v>0</v>
      </c>
      <c r="P77" s="482">
        <v>0</v>
      </c>
      <c r="Q77" s="482">
        <v>0</v>
      </c>
      <c r="R77" s="482">
        <v>0</v>
      </c>
      <c r="S77" s="482">
        <v>0</v>
      </c>
      <c r="T77" s="482">
        <v>0</v>
      </c>
      <c r="U77" s="482">
        <v>0</v>
      </c>
      <c r="V77" s="482">
        <v>0</v>
      </c>
      <c r="W77" s="482">
        <v>0</v>
      </c>
      <c r="X77" s="482">
        <v>0</v>
      </c>
      <c r="Y77" s="482">
        <v>0</v>
      </c>
      <c r="Z77" s="482">
        <v>0</v>
      </c>
      <c r="AA77" s="482">
        <v>0</v>
      </c>
      <c r="AB77" s="482">
        <v>0</v>
      </c>
      <c r="AC77" s="482">
        <v>0</v>
      </c>
      <c r="AD77" s="482">
        <v>0</v>
      </c>
      <c r="AE77" s="482">
        <v>0</v>
      </c>
      <c r="AF77" s="482">
        <v>0</v>
      </c>
    </row>
    <row r="78" spans="1:39" ht="16" thickBot="1">
      <c r="B78" s="481" t="s">
        <v>56</v>
      </c>
      <c r="C78" s="541">
        <f>SUM(C76:C77)</f>
        <v>26725.433730000008</v>
      </c>
      <c r="D78" s="541"/>
      <c r="E78" s="541">
        <f t="shared" ref="E78:H78" si="45">SUM(E75:E77)</f>
        <v>38932.729789999998</v>
      </c>
      <c r="F78" s="541">
        <f t="shared" si="45"/>
        <v>8140.2385399999985</v>
      </c>
      <c r="G78" s="541">
        <f t="shared" si="45"/>
        <v>-693.68146000000161</v>
      </c>
      <c r="H78" s="541">
        <f t="shared" si="45"/>
        <v>-13695.721460000002</v>
      </c>
      <c r="I78" s="541">
        <v>-24946.501630000002</v>
      </c>
      <c r="J78" s="541">
        <v>-35935.697740000003</v>
      </c>
      <c r="K78" s="541">
        <v>-43868.737290000005</v>
      </c>
      <c r="L78" s="541">
        <v>-48533.952360000003</v>
      </c>
      <c r="M78" s="541">
        <v>-51097.105150000003</v>
      </c>
      <c r="N78" s="541">
        <v>-53019.406010000006</v>
      </c>
      <c r="O78" s="541">
        <v>-54619.79959000001</v>
      </c>
      <c r="P78" s="541">
        <v>-56173.40615000001</v>
      </c>
      <c r="Q78" s="541">
        <v>-58149.353890000013</v>
      </c>
      <c r="R78" s="541">
        <v>-61477.482430000011</v>
      </c>
      <c r="S78" s="541">
        <v>-56200.445640000013</v>
      </c>
      <c r="T78" s="541">
        <v>-49897.475640000011</v>
      </c>
      <c r="U78" s="541">
        <v>-43064.021250000013</v>
      </c>
      <c r="V78" s="541">
        <f t="shared" ref="V78:AF78" si="46">SUM(V75:V77)</f>
        <v>-38138.117780000015</v>
      </c>
      <c r="W78" s="541">
        <f t="shared" si="46"/>
        <v>-34282.961340000016</v>
      </c>
      <c r="X78" s="541">
        <f t="shared" si="46"/>
        <v>-31253.873050000017</v>
      </c>
      <c r="Y78" s="541">
        <f t="shared" si="46"/>
        <v>-29770.929110000015</v>
      </c>
      <c r="Z78" s="541">
        <f t="shared" si="46"/>
        <v>-28708.282540000015</v>
      </c>
      <c r="AA78" s="541">
        <f t="shared" si="46"/>
        <v>-27692.487530000013</v>
      </c>
      <c r="AB78" s="541">
        <f t="shared" si="46"/>
        <v>-26711.886850000014</v>
      </c>
      <c r="AC78" s="541">
        <f t="shared" si="46"/>
        <v>-25249.174790000012</v>
      </c>
      <c r="AD78" s="541">
        <f t="shared" si="46"/>
        <v>-23172.041910000011</v>
      </c>
      <c r="AE78" s="541">
        <f t="shared" si="46"/>
        <v>-23172.041910000011</v>
      </c>
      <c r="AF78" s="541">
        <f t="shared" si="46"/>
        <v>-23172.041910000011</v>
      </c>
    </row>
    <row r="79" spans="1:39" ht="16" thickTop="1">
      <c r="B79" s="481" t="s">
        <v>260</v>
      </c>
      <c r="E79" s="482" t="e">
        <f ca="1">_xll.Get_Balance(E74,"YTD","USD","Total","A","","001",$A$74,"GD","WA","DL")</f>
        <v>#NAME?</v>
      </c>
      <c r="F79" s="482" t="e">
        <f ca="1">_xll.Get_Balance(F74,"YTD","USD","Total","A","","001",$A$74,"GD","WA","DL")</f>
        <v>#NAME?</v>
      </c>
      <c r="G79" s="482" t="e">
        <f ca="1">_xll.Get_Balance(G74,"YTD","USD","Total","A","","001",$A$74,"GD","WA","DL")</f>
        <v>#NAME?</v>
      </c>
      <c r="H79" s="482" t="e">
        <f ca="1">_xll.Get_Balance(H74,"YTD","USD","Total","A","","001",$A$74,"GD","WA","DL")</f>
        <v>#NAME?</v>
      </c>
      <c r="I79" s="482">
        <v>-24946.5</v>
      </c>
      <c r="J79" s="482">
        <v>-35935.699999999997</v>
      </c>
      <c r="K79" s="482">
        <v>-43868.74</v>
      </c>
      <c r="L79" s="482">
        <v>-48533.96</v>
      </c>
      <c r="M79" s="482">
        <v>-51097.11</v>
      </c>
      <c r="N79" s="482">
        <v>-53019.41</v>
      </c>
      <c r="O79" s="482">
        <v>-54619.8</v>
      </c>
      <c r="P79" s="482">
        <v>-56173.41</v>
      </c>
      <c r="Q79" s="482">
        <v>-58149.36</v>
      </c>
      <c r="R79" s="482">
        <v>-61477.49</v>
      </c>
      <c r="S79" s="482">
        <v>-56200.45</v>
      </c>
      <c r="T79" s="482">
        <v>-49897.48</v>
      </c>
      <c r="U79" s="482">
        <v>-43064.03</v>
      </c>
      <c r="V79" s="482" t="e">
        <f ca="1">_xll.Get_Balance(V74,"YTD","USD","Total","A","","001",$A$74,"GD","WA","DL")</f>
        <v>#NAME?</v>
      </c>
      <c r="W79" s="482" t="e">
        <f ca="1">_xll.Get_Balance(W74,"YTD","USD","Total","A","","001",$A$74,"GD","WA","DL")</f>
        <v>#NAME?</v>
      </c>
      <c r="X79" s="482" t="e">
        <f ca="1">_xll.Get_Balance(X74,"YTD","USD","Total","A","","001",$A$74,"GD","WA","DL")</f>
        <v>#NAME?</v>
      </c>
      <c r="Y79" s="482" t="e">
        <f ca="1">_xll.Get_Balance(Y74,"YTD","USD","Total","A","","001",$A$74,"GD","WA","DL")</f>
        <v>#NAME?</v>
      </c>
      <c r="Z79" s="482" t="e">
        <f ca="1">_xll.Get_Balance(Z74,"YTD","USD","Total","A","","001",$A$74,"GD","WA","DL")</f>
        <v>#NAME?</v>
      </c>
      <c r="AA79" s="482" t="e">
        <f ca="1">_xll.Get_Balance(AA74,"YTD","USD","Total","A","","001",$A$74,"GD","WA","DL")</f>
        <v>#NAME?</v>
      </c>
      <c r="AB79" s="482" t="e">
        <f ca="1">_xll.Get_Balance(AB74,"YTD","USD","Total","A","","001",$A$74,"GD","WA","DL")</f>
        <v>#NAME?</v>
      </c>
      <c r="AC79" s="482" t="e">
        <f ca="1">_xll.Get_Balance(AC74,"YTD","USD","Total","A","","001",$A$74,"GD","WA","DL")</f>
        <v>#NAME?</v>
      </c>
      <c r="AD79" s="482" t="e">
        <f ca="1">_xll.Get_Balance(AD74,"YTD","USD","Total","A","","001",$A$74,"GD","WA","DL")</f>
        <v>#NAME?</v>
      </c>
      <c r="AE79" s="482" t="e">
        <f ca="1">_xll.Get_Balance(AE74,"YTD","USD","Total","A","","001",$A$74,"GD","WA","DL")</f>
        <v>#NAME?</v>
      </c>
      <c r="AF79" s="482" t="e">
        <f ca="1">_xll.Get_Balance(AF74,"YTD","USD","Total","A","","001",$A$74,"GD","WA","DL")</f>
        <v>#NAME?</v>
      </c>
    </row>
    <row r="80" spans="1:39">
      <c r="B80" s="481" t="s">
        <v>245</v>
      </c>
      <c r="E80" s="482" t="e">
        <f t="shared" ref="E80:H80" ca="1" si="47">E78-E79</f>
        <v>#NAME?</v>
      </c>
      <c r="F80" s="482" t="e">
        <f t="shared" ca="1" si="47"/>
        <v>#NAME?</v>
      </c>
      <c r="G80" s="482" t="e">
        <f t="shared" ca="1" si="47"/>
        <v>#NAME?</v>
      </c>
      <c r="H80" s="482" t="e">
        <f t="shared" ca="1" si="47"/>
        <v>#NAME?</v>
      </c>
      <c r="I80" s="482">
        <v>-1.6300000024784822E-3</v>
      </c>
      <c r="J80" s="482">
        <v>2.2599999938393012E-3</v>
      </c>
      <c r="K80" s="482">
        <v>2.7099999933852814E-3</v>
      </c>
      <c r="L80" s="482">
        <v>7.6399999961722642E-3</v>
      </c>
      <c r="M80" s="482">
        <v>4.8499999975319952E-3</v>
      </c>
      <c r="N80" s="482">
        <v>3.9899999974295497E-3</v>
      </c>
      <c r="O80" s="482">
        <v>4.0999999328050762E-4</v>
      </c>
      <c r="P80" s="482">
        <v>3.8499999936902896E-3</v>
      </c>
      <c r="Q80" s="482">
        <v>6.1099999875295907E-3</v>
      </c>
      <c r="R80" s="482">
        <v>7.5699999870266765E-3</v>
      </c>
      <c r="S80" s="482">
        <v>4.3599999844445847E-3</v>
      </c>
      <c r="T80" s="482">
        <v>4.3599999917205423E-3</v>
      </c>
      <c r="U80" s="482">
        <v>8.7499999863211997E-3</v>
      </c>
      <c r="V80" s="482" t="e">
        <f t="shared" ref="V80:AF80" ca="1" si="48">V78-V79</f>
        <v>#NAME?</v>
      </c>
      <c r="W80" s="482" t="e">
        <f t="shared" ca="1" si="48"/>
        <v>#NAME?</v>
      </c>
      <c r="X80" s="482" t="e">
        <f t="shared" ca="1" si="48"/>
        <v>#NAME?</v>
      </c>
      <c r="Y80" s="482" t="e">
        <f t="shared" ca="1" si="48"/>
        <v>#NAME?</v>
      </c>
      <c r="Z80" s="482" t="e">
        <f t="shared" ca="1" si="48"/>
        <v>#NAME?</v>
      </c>
      <c r="AA80" s="482" t="e">
        <f t="shared" ca="1" si="48"/>
        <v>#NAME?</v>
      </c>
      <c r="AB80" s="482" t="e">
        <f t="shared" ca="1" si="48"/>
        <v>#NAME?</v>
      </c>
      <c r="AC80" s="482" t="e">
        <f t="shared" ca="1" si="48"/>
        <v>#NAME?</v>
      </c>
      <c r="AD80" s="482" t="e">
        <f t="shared" ca="1" si="48"/>
        <v>#NAME?</v>
      </c>
      <c r="AE80" s="482" t="e">
        <f t="shared" ca="1" si="48"/>
        <v>#NAME?</v>
      </c>
      <c r="AF80" s="482" t="e">
        <f t="shared" ca="1" si="48"/>
        <v>#NAME?</v>
      </c>
    </row>
  </sheetData>
  <conditionalFormatting sqref="E28 K28:AG28 L62:AG62">
    <cfRule type="cellIs" dxfId="586" priority="23" operator="notEqual">
      <formula>E27</formula>
    </cfRule>
  </conditionalFormatting>
  <conditionalFormatting sqref="F28">
    <cfRule type="cellIs" dxfId="585" priority="22" operator="notEqual">
      <formula>F27</formula>
    </cfRule>
  </conditionalFormatting>
  <conditionalFormatting sqref="G28">
    <cfRule type="cellIs" dxfId="584" priority="21" operator="notEqual">
      <formula>G27</formula>
    </cfRule>
  </conditionalFormatting>
  <conditionalFormatting sqref="H28">
    <cfRule type="cellIs" dxfId="583" priority="20" operator="notEqual">
      <formula>H27</formula>
    </cfRule>
  </conditionalFormatting>
  <conditionalFormatting sqref="G62">
    <cfRule type="cellIs" dxfId="582" priority="19" operator="notEqual">
      <formula>G61</formula>
    </cfRule>
  </conditionalFormatting>
  <conditionalFormatting sqref="H62">
    <cfRule type="cellIs" dxfId="581" priority="18" operator="notEqual">
      <formula>H61</formula>
    </cfRule>
  </conditionalFormatting>
  <conditionalFormatting sqref="E62">
    <cfRule type="cellIs" dxfId="580" priority="17" operator="notEqual">
      <formula>E61</formula>
    </cfRule>
  </conditionalFormatting>
  <conditionalFormatting sqref="F62">
    <cfRule type="cellIs" dxfId="579" priority="16" operator="notEqual">
      <formula>F61</formula>
    </cfRule>
  </conditionalFormatting>
  <conditionalFormatting sqref="AM76 AM45 AM11">
    <cfRule type="cellIs" dxfId="578" priority="15" operator="notEqual">
      <formula>0</formula>
    </cfRule>
  </conditionalFormatting>
  <conditionalFormatting sqref="D62">
    <cfRule type="cellIs" dxfId="577" priority="14" operator="notEqual">
      <formula>D61</formula>
    </cfRule>
  </conditionalFormatting>
  <conditionalFormatting sqref="C62">
    <cfRule type="cellIs" dxfId="576" priority="13" operator="notEqual">
      <formula>C61</formula>
    </cfRule>
  </conditionalFormatting>
  <conditionalFormatting sqref="D28">
    <cfRule type="cellIs" dxfId="575" priority="12" operator="notEqual">
      <formula>D27</formula>
    </cfRule>
  </conditionalFormatting>
  <conditionalFormatting sqref="C28">
    <cfRule type="cellIs" dxfId="574" priority="11" operator="notEqual">
      <formula>C27</formula>
    </cfRule>
  </conditionalFormatting>
  <conditionalFormatting sqref="I28">
    <cfRule type="cellIs" dxfId="573" priority="10" operator="notEqual">
      <formula>I27</formula>
    </cfRule>
  </conditionalFormatting>
  <conditionalFormatting sqref="I62">
    <cfRule type="cellIs" dxfId="572" priority="9" operator="notEqual">
      <formula>I61</formula>
    </cfRule>
  </conditionalFormatting>
  <conditionalFormatting sqref="J28">
    <cfRule type="cellIs" dxfId="571" priority="8" operator="notEqual">
      <formula>J27</formula>
    </cfRule>
  </conditionalFormatting>
  <conditionalFormatting sqref="J62">
    <cfRule type="cellIs" dxfId="570" priority="7" operator="notEqual">
      <formula>J61</formula>
    </cfRule>
  </conditionalFormatting>
  <conditionalFormatting sqref="K62">
    <cfRule type="cellIs" dxfId="569" priority="6" operator="notEqual">
      <formula>K61</formula>
    </cfRule>
  </conditionalFormatting>
  <conditionalFormatting sqref="U28">
    <cfRule type="cellIs" dxfId="568" priority="5" operator="notEqual">
      <formula>U27</formula>
    </cfRule>
  </conditionalFormatting>
  <conditionalFormatting sqref="U62">
    <cfRule type="cellIs" dxfId="567" priority="4" operator="notEqual">
      <formula>U61</formula>
    </cfRule>
  </conditionalFormatting>
  <conditionalFormatting sqref="V28">
    <cfRule type="cellIs" dxfId="566" priority="3" operator="notEqual">
      <formula>V27</formula>
    </cfRule>
  </conditionalFormatting>
  <conditionalFormatting sqref="V62">
    <cfRule type="cellIs" dxfId="565" priority="2" operator="notEqual">
      <formula>V61</formula>
    </cfRule>
  </conditionalFormatting>
  <conditionalFormatting sqref="W62">
    <cfRule type="cellIs" dxfId="564" priority="1" operator="notEqual">
      <formula>W61</formula>
    </cfRule>
  </conditionalFormatting>
  <pageMargins left="0" right="0" top="0.75" bottom="0.75" header="0.3" footer="0.3"/>
  <pageSetup scale="37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pageSetUpPr fitToPage="1"/>
  </sheetPr>
  <dimension ref="A1:AO93"/>
  <sheetViews>
    <sheetView topLeftCell="B1" zoomScale="89" zoomScaleNormal="89" zoomScaleSheetLayoutView="85" workbookViewId="0">
      <selection activeCell="W49" sqref="W49"/>
    </sheetView>
  </sheetViews>
  <sheetFormatPr defaultColWidth="9.09765625" defaultRowHeight="15.5"/>
  <cols>
    <col min="1" max="1" width="16.69921875" style="482" customWidth="1"/>
    <col min="2" max="2" width="25.296875" style="481" bestFit="1" customWidth="1"/>
    <col min="3" max="3" width="16.296875" style="482" bestFit="1" customWidth="1"/>
    <col min="4" max="4" width="16.09765625" style="482" customWidth="1"/>
    <col min="5" max="6" width="16.3984375" style="482" hidden="1" customWidth="1"/>
    <col min="7" max="7" width="16.296875" style="482" hidden="1" customWidth="1"/>
    <col min="8" max="9" width="18.3984375" style="482" hidden="1" customWidth="1"/>
    <col min="10" max="12" width="16.296875" style="482" hidden="1" customWidth="1"/>
    <col min="13" max="13" width="16.8984375" style="482" hidden="1" customWidth="1"/>
    <col min="14" max="18" width="16.296875" style="482" hidden="1" customWidth="1"/>
    <col min="19" max="20" width="16.296875" style="482" customWidth="1"/>
    <col min="21" max="21" width="18.3984375" style="482" customWidth="1"/>
    <col min="22" max="23" width="16.296875" style="482" customWidth="1"/>
    <col min="24" max="24" width="16.69921875" style="482" customWidth="1"/>
    <col min="25" max="25" width="16.8984375" style="482" customWidth="1"/>
    <col min="26" max="29" width="16.296875" style="482" customWidth="1"/>
    <col min="30" max="32" width="16.296875" style="482" hidden="1" customWidth="1"/>
    <col min="33" max="33" width="1.59765625" style="482" customWidth="1"/>
    <col min="34" max="34" width="36.296875" style="482" bestFit="1" customWidth="1"/>
    <col min="35" max="35" width="15.59765625" style="525" bestFit="1" customWidth="1"/>
    <col min="36" max="36" width="4.69921875" style="482" bestFit="1" customWidth="1"/>
    <col min="37" max="37" width="3.3984375" style="482" bestFit="1" customWidth="1"/>
    <col min="38" max="39" width="17.09765625" style="482" bestFit="1" customWidth="1"/>
    <col min="40" max="40" width="0.59765625" style="482" customWidth="1"/>
    <col min="41" max="16384" width="9.09765625" style="482"/>
  </cols>
  <sheetData>
    <row r="1" spans="1:39">
      <c r="A1" s="480" t="s">
        <v>265</v>
      </c>
      <c r="AH1" s="480" t="s">
        <v>315</v>
      </c>
    </row>
    <row r="2" spans="1:39">
      <c r="A2" s="483" t="s">
        <v>267</v>
      </c>
    </row>
    <row r="3" spans="1:39" s="483" customFormat="1" ht="31.5" thickBot="1">
      <c r="A3" s="484">
        <v>191010</v>
      </c>
      <c r="B3" s="485" t="s">
        <v>256</v>
      </c>
      <c r="C3" s="486" t="s">
        <v>251</v>
      </c>
      <c r="D3" s="689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I3" s="484"/>
    </row>
    <row r="4" spans="1:39" s="483" customFormat="1" ht="16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H4" s="544">
        <v>201509</v>
      </c>
      <c r="AI4" s="526"/>
      <c r="AJ4" s="514"/>
      <c r="AK4" s="514"/>
      <c r="AL4" s="514"/>
      <c r="AM4" s="515"/>
    </row>
    <row r="5" spans="1:39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f>T13</f>
        <v>-411904.7279799963</v>
      </c>
      <c r="V5" s="482">
        <f>U13</f>
        <v>-645308.82581999747</v>
      </c>
      <c r="W5" s="482">
        <f t="shared" ref="W5:AF5" si="1">V13</f>
        <v>-851213.3205709972</v>
      </c>
      <c r="X5" s="482">
        <f t="shared" si="1"/>
        <v>-383853.68833599566</v>
      </c>
      <c r="Y5" s="482">
        <f t="shared" si="1"/>
        <v>-1320748.2898439963</v>
      </c>
      <c r="Z5" s="482">
        <f t="shared" si="1"/>
        <v>-1486769.1493459961</v>
      </c>
      <c r="AA5" s="482">
        <f t="shared" si="1"/>
        <v>-1775279.9458759972</v>
      </c>
      <c r="AB5" s="482">
        <f t="shared" si="1"/>
        <v>-2119120.6388879968</v>
      </c>
      <c r="AC5" s="482">
        <f t="shared" si="1"/>
        <v>-2515662.2971379957</v>
      </c>
      <c r="AD5" s="482">
        <f t="shared" si="1"/>
        <v>-3163911.9401459969</v>
      </c>
      <c r="AE5" s="482">
        <f t="shared" si="1"/>
        <v>-3819344.4755009972</v>
      </c>
      <c r="AF5" s="482">
        <f t="shared" si="1"/>
        <v>-4461427.0393109964</v>
      </c>
      <c r="AH5" s="497" t="s">
        <v>304</v>
      </c>
      <c r="AI5" s="527">
        <v>419600</v>
      </c>
      <c r="AJ5" s="498" t="s">
        <v>288</v>
      </c>
      <c r="AK5" s="498" t="s">
        <v>291</v>
      </c>
      <c r="AL5" s="519">
        <v>0</v>
      </c>
      <c r="AM5" s="520">
        <f>IF(SUMIF(U3:AF3,AH4,U8:AF8)&gt;0,SUMIF(U3:AF3,AH4,U8:AF8),0)</f>
        <v>0</v>
      </c>
    </row>
    <row r="6" spans="1:39">
      <c r="B6" s="481" t="s">
        <v>254</v>
      </c>
      <c r="C6" s="482">
        <f>SUM(U6:AF6)</f>
        <v>-5056717.7079139985</v>
      </c>
      <c r="D6" s="482">
        <f>-1369125.49+SUM(E6:N6,E9:T9)</f>
        <v>-2.14532227255404E-3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f>Jan!$J$53</f>
        <v>331968.15844599903</v>
      </c>
      <c r="V6" s="482">
        <f>Feb!$J$53</f>
        <v>0</v>
      </c>
      <c r="W6" s="482">
        <f>Mar!$J$53</f>
        <v>547802.71264300169</v>
      </c>
      <c r="X6" s="482">
        <f>Apr!$J$53</f>
        <v>-1029654.8148680007</v>
      </c>
      <c r="Y6" s="482">
        <f>May!$J$53</f>
        <v>-494908.28808599967</v>
      </c>
      <c r="Z6" s="482">
        <f>Jun!$J$53</f>
        <v>-803843.28933000052</v>
      </c>
      <c r="AA6" s="482">
        <f>Jul!$J$53</f>
        <v>-778841.02357199905</v>
      </c>
      <c r="AB6" s="482">
        <f>Aug!$J$53</f>
        <v>-816009.11660199915</v>
      </c>
      <c r="AC6" s="482">
        <f>Sep!$J$53</f>
        <v>-995450.54456800083</v>
      </c>
      <c r="AD6" s="482">
        <f>Oct!$J$55</f>
        <v>-911936.74747700011</v>
      </c>
      <c r="AE6" s="482">
        <f>Nov!$J$55</f>
        <v>-105844.75449999981</v>
      </c>
      <c r="AF6" s="482">
        <f>Dec!$J$53</f>
        <v>0</v>
      </c>
      <c r="AH6" s="499" t="s">
        <v>305</v>
      </c>
      <c r="AI6" s="528">
        <v>431600</v>
      </c>
      <c r="AJ6" s="358" t="s">
        <v>288</v>
      </c>
      <c r="AK6" s="358" t="s">
        <v>291</v>
      </c>
      <c r="AL6" s="381">
        <f>IF(SUMIF(U3:AF3,AH4,U8:AF8)&lt;0,-SUMIF(U3:AF3,AH4,U8:AF8),0)</f>
        <v>2365.5</v>
      </c>
      <c r="AM6" s="500">
        <v>0</v>
      </c>
    </row>
    <row r="7" spans="1:39">
      <c r="B7" s="481" t="s">
        <v>255</v>
      </c>
      <c r="C7" s="482">
        <f t="shared" ref="C7:C11" si="2">SUM(U7:AF7)</f>
        <v>954206.43658299907</v>
      </c>
      <c r="D7" s="482">
        <f>1867859.17+SUM(E7:N7,E10:T10)</f>
        <v>-1.7596203833818436E-3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f>Jan!$K$53</f>
        <v>-634725.57628600008</v>
      </c>
      <c r="V7" s="482">
        <f>Feb!$K$53</f>
        <v>-205263.17475099966</v>
      </c>
      <c r="W7" s="482">
        <f>Mar!$K$53</f>
        <v>-80067.220408000168</v>
      </c>
      <c r="X7" s="482">
        <f>Apr!$K$53</f>
        <v>93304.253359999973</v>
      </c>
      <c r="Y7" s="482">
        <f>May!$K$53</f>
        <v>330056.73858399986</v>
      </c>
      <c r="Z7" s="482">
        <f>Jun!$K$53</f>
        <v>516691.11279999983</v>
      </c>
      <c r="AA7" s="482">
        <f>Jul!$K$53</f>
        <v>436622.32056000002</v>
      </c>
      <c r="AB7" s="482">
        <f>Aug!$K$53</f>
        <v>421397.81835199991</v>
      </c>
      <c r="AC7" s="482">
        <f>Sep!$K$53</f>
        <v>349566.40155999974</v>
      </c>
      <c r="AD7" s="482">
        <f>Oct!$K$55</f>
        <v>259412.69212199986</v>
      </c>
      <c r="AE7" s="563">
        <f>Nov!$K$55</f>
        <v>-532788.92931000004</v>
      </c>
      <c r="AF7" s="482">
        <f>Dec!$K$53</f>
        <v>0</v>
      </c>
      <c r="AH7" s="499" t="s">
        <v>306</v>
      </c>
      <c r="AI7" s="528">
        <v>191010</v>
      </c>
      <c r="AJ7" s="358" t="s">
        <v>288</v>
      </c>
      <c r="AK7" s="358" t="s">
        <v>291</v>
      </c>
      <c r="AL7" s="381">
        <f>IF((SUMIF(U3:AF3,AH4,U6:AF6)+SUMIF(U3:AF3,AH4,U7:AF7)+SUMIF(U3:AF3,AH4,U8:AF8))&gt;0,(SUMIF(U3:AF3,AH4,U6:AF6)+SUMIF(U3:AF3,AH4,U7:AF7)+SUMIF(U3:AF3,AH4,U8:AF8)),0)</f>
        <v>0</v>
      </c>
      <c r="AM7" s="500">
        <f>IF((SUMIF(U3:AF3,AH4,U6:AF6)+SUMIF(U3:AF3,AH4,U7:AF7)+SUMIF(U3:AF3,AH4,U8:AF8))&lt;0,-(SUMIF(U3:AF3,AH4,U6:AF6)+SUMIF(U3:AF3,AH4,U7:AF7)++SUMIF(U3:AF3,AH4,U8:AF8)),0)</f>
        <v>648249.64300800115</v>
      </c>
    </row>
    <row r="8" spans="1:39">
      <c r="B8" s="481" t="s">
        <v>258</v>
      </c>
      <c r="C8" s="482">
        <f t="shared" si="2"/>
        <v>-20775.64</v>
      </c>
      <c r="D8" s="482">
        <f>-7356.73+SUM(E8:N8,E11:T11)</f>
        <v>0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f>ROUND(((X5+X12)*(X4/12))+((SUM(X6:X7)/2)*(X4/12)),2)</f>
        <v>-709.89</v>
      </c>
      <c r="Y8" s="489">
        <f t="shared" ref="Y8:AC8" si="3">ROUND(((Y5+Y9+Y10+Y11)*(Y4/12))+((SUM(Y6:Y7)/2)*(Y4/12)),2)</f>
        <v>-1169.31</v>
      </c>
      <c r="Z8" s="489">
        <f t="shared" si="3"/>
        <v>-1358.62</v>
      </c>
      <c r="AA8" s="489">
        <f t="shared" si="3"/>
        <v>-1621.99</v>
      </c>
      <c r="AB8" s="489">
        <f t="shared" si="3"/>
        <v>-1930.36</v>
      </c>
      <c r="AC8" s="489">
        <f t="shared" si="3"/>
        <v>-2365.5</v>
      </c>
      <c r="AD8" s="489">
        <f>ROUND(((AD5+AD9+AD10+AD11)*(AD4/12))+((SUM(AD6:AD7)/2)*(AD4/12)),2)</f>
        <v>-2908.48</v>
      </c>
      <c r="AE8" s="482">
        <f>ROUND(((AE5+AE9+AE10+AE11)*(AE4/12))+((SUM(AE6:AE7)/2)*(AE4/12)),2)</f>
        <v>-3448.88</v>
      </c>
      <c r="AF8" s="489">
        <f>ROUND(((AF5+AF9+AF10+AF11)*(AF4/12))+((SUM(AF6:AF7)/2)*(AF4/12)),2)</f>
        <v>-3717.86</v>
      </c>
      <c r="AH8" s="499" t="s">
        <v>307</v>
      </c>
      <c r="AI8" s="528">
        <v>805120</v>
      </c>
      <c r="AJ8" s="358" t="s">
        <v>288</v>
      </c>
      <c r="AK8" s="358" t="s">
        <v>291</v>
      </c>
      <c r="AL8" s="381">
        <f>IF((SUMIF(U3:AF3,AH4,U6:AF6)+SUMIF(U3:AF3,AH4,U7:AF7))&lt;0,-(SUMIF(U3:AF3,AH4,U6:AF6)+SUMIF(U3:AF3,AH4,U7:AF7)),0)</f>
        <v>645884.14300800115</v>
      </c>
      <c r="AM8" s="500">
        <f>IF((SUMIF(U3:AF3,AH4,U6:AF6)+SUMIF(U3:AF3,AH4,U7:AF7))&gt;0,(SUMIF(U3:AF3,AH4,U6:AF6)+SUMIF(U3:AF3,AH4,U7:AF7)),0)</f>
        <v>0</v>
      </c>
    </row>
    <row r="9" spans="1:39">
      <c r="B9" s="481" t="s">
        <v>262</v>
      </c>
      <c r="C9" s="482">
        <f t="shared" si="2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F9" s="482">
        <v>0</v>
      </c>
      <c r="AH9" s="499" t="s">
        <v>11</v>
      </c>
      <c r="AI9" s="528">
        <v>191010</v>
      </c>
      <c r="AJ9" s="358" t="s">
        <v>288</v>
      </c>
      <c r="AK9" s="358" t="s">
        <v>291</v>
      </c>
      <c r="AL9" s="381">
        <v>0</v>
      </c>
      <c r="AM9" s="500">
        <v>0</v>
      </c>
    </row>
    <row r="10" spans="1:39" ht="16" thickBot="1">
      <c r="B10" s="481" t="s">
        <v>263</v>
      </c>
      <c r="C10" s="482">
        <f t="shared" si="2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F10" s="482">
        <v>0</v>
      </c>
      <c r="AH10" s="501" t="str">
        <f>AH9</f>
        <v>Tracker Transfer</v>
      </c>
      <c r="AI10" s="529">
        <f>AI44</f>
        <v>191000</v>
      </c>
      <c r="AJ10" s="529" t="str">
        <f>AJ44</f>
        <v>GD</v>
      </c>
      <c r="AK10" s="529" t="str">
        <f>AK44</f>
        <v>ID</v>
      </c>
      <c r="AL10" s="503">
        <v>0</v>
      </c>
      <c r="AM10" s="521">
        <f>AL9</f>
        <v>0</v>
      </c>
    </row>
    <row r="11" spans="1:39" ht="16" thickBot="1">
      <c r="B11" s="481" t="s">
        <v>264</v>
      </c>
      <c r="C11" s="482">
        <f t="shared" si="2"/>
        <v>-49.16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F11" s="482">
        <v>0</v>
      </c>
      <c r="AH11" s="516"/>
      <c r="AI11" s="530"/>
      <c r="AJ11" s="517"/>
      <c r="AK11" s="517"/>
      <c r="AL11" s="517" t="s">
        <v>159</v>
      </c>
      <c r="AM11" s="518">
        <f>SUM(AL5:AL10)-SUM(AM5:AM10)</f>
        <v>0</v>
      </c>
    </row>
    <row r="12" spans="1:39">
      <c r="B12" s="481" t="s">
        <v>148</v>
      </c>
      <c r="C12" s="482">
        <f>SUM(U12:AF12)</f>
        <v>70095.900000000009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</row>
    <row r="13" spans="1:39" ht="16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4">SUM(F5:F12)</f>
        <v>-179650.44284699953</v>
      </c>
      <c r="G13" s="541">
        <f t="shared" si="4"/>
        <v>-770749.33284699952</v>
      </c>
      <c r="H13" s="541">
        <f t="shared" si="4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F13" si="5">SUM(U5:U12)</f>
        <v>-645308.82581999747</v>
      </c>
      <c r="V13" s="541">
        <f t="shared" si="5"/>
        <v>-851213.3205709972</v>
      </c>
      <c r="W13" s="541">
        <f t="shared" si="5"/>
        <v>-383853.68833599566</v>
      </c>
      <c r="X13" s="541">
        <f t="shared" si="5"/>
        <v>-1320748.2898439963</v>
      </c>
      <c r="Y13" s="541">
        <f t="shared" si="5"/>
        <v>-1486769.1493459961</v>
      </c>
      <c r="Z13" s="541">
        <f t="shared" si="5"/>
        <v>-1775279.9458759972</v>
      </c>
      <c r="AA13" s="541">
        <f t="shared" si="5"/>
        <v>-2119120.6388879968</v>
      </c>
      <c r="AB13" s="541">
        <f t="shared" si="5"/>
        <v>-2515662.2971379957</v>
      </c>
      <c r="AC13" s="541">
        <f t="shared" si="5"/>
        <v>-3163911.9401459969</v>
      </c>
      <c r="AD13" s="541">
        <f t="shared" si="5"/>
        <v>-3819344.4755009972</v>
      </c>
      <c r="AE13" s="541">
        <f t="shared" si="5"/>
        <v>-4461427.0393109964</v>
      </c>
      <c r="AF13" s="541">
        <f t="shared" si="5"/>
        <v>-4465144.8993109968</v>
      </c>
    </row>
    <row r="14" spans="1:39" ht="16" thickTop="1">
      <c r="B14" s="481" t="s">
        <v>260</v>
      </c>
      <c r="E14" s="482" t="e">
        <f ca="1">_xll.Get_Balance(E3,"YTD","USD","Total","A","","001",$A$3,"GD","ID","DL")</f>
        <v>#NAME?</v>
      </c>
      <c r="F14" s="482" t="e">
        <f ca="1">_xll.Get_Balance(F3,"YTD","USD","Total","A","","001",$A$3,"GD","ID","DL")</f>
        <v>#NAME?</v>
      </c>
      <c r="G14" s="482" t="e">
        <f ca="1">_xll.Get_Balance(G3,"YTD","USD","Total","A","","001",$A$3,"GD","ID","DL")</f>
        <v>#NAME?</v>
      </c>
      <c r="H14" s="482" t="e">
        <f ca="1">_xll.Get_Balance(H3,"YTD","USD","Total","A","","001",$A$3,"GD","ID","DL")</f>
        <v>#NAME?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 t="e">
        <f ca="1">_xll.Get_Balance(S3,"YTD","USD","Total","A","","001",$A$3,"GD","ID","DL")</f>
        <v>#NAME?</v>
      </c>
      <c r="T14" s="482" t="e">
        <f ca="1">_xll.Get_Balance(T3,"YTD","USD","Total","A","","001",$A$3,"GD","ID","DL")</f>
        <v>#NAME?</v>
      </c>
      <c r="U14" s="482" t="e">
        <f ca="1">_xll.Get_Balance(U3,"YTD","USD","Total","A","","001",$A$3,"GD","ID","DL")</f>
        <v>#NAME?</v>
      </c>
      <c r="V14" s="482" t="e">
        <f ca="1">_xll.Get_Balance(V3,"YTD","USD","Total","A","","001",$A$3,"GD","ID","DL")</f>
        <v>#NAME?</v>
      </c>
      <c r="W14" s="482" t="e">
        <f ca="1">_xll.Get_Balance(W3,"YTD","USD","Total","A","","001",$A$3,"GD","ID","DL")</f>
        <v>#NAME?</v>
      </c>
      <c r="X14" s="482" t="e">
        <f ca="1">_xll.Get_Balance(X3,"YTD","USD","Total","A","","001",$A$3,"GD","ID","DL")</f>
        <v>#NAME?</v>
      </c>
      <c r="Y14" s="482" t="e">
        <f ca="1">_xll.Get_Balance(Y3,"YTD","USD","Total","A","","001",$A$3,"GD","ID","DL")</f>
        <v>#NAME?</v>
      </c>
      <c r="Z14" s="482" t="e">
        <f ca="1">_xll.Get_Balance(Z3,"YTD","USD","Total","A","","001",$A$3,"GD","ID","DL")</f>
        <v>#NAME?</v>
      </c>
      <c r="AA14" s="482" t="e">
        <f ca="1">_xll.Get_Balance(AA3,"YTD","USD","Total","A","","001",$A$3,"GD","ID","DL")</f>
        <v>#NAME?</v>
      </c>
      <c r="AB14" s="482" t="e">
        <f ca="1">_xll.Get_Balance(AB3,"YTD","USD","Total","A","","001",$A$3,"GD","ID","DL")</f>
        <v>#NAME?</v>
      </c>
      <c r="AC14" s="482" t="e">
        <f ca="1">_xll.Get_Balance(AC3,"YTD","USD","Total","A","","001",$A$3,"GD","ID","DL")</f>
        <v>#NAME?</v>
      </c>
      <c r="AD14" s="482" t="e">
        <f ca="1">_xll.Get_Balance(AD3,"YTD","USD","Total","A","","001",$A$3,"GD","ID","DL")</f>
        <v>#NAME?</v>
      </c>
      <c r="AE14" s="482" t="e">
        <f ca="1">_xll.Get_Balance(AE3,"YTD","USD","Total","A","","001",$A$3,"GD","ID","DL")</f>
        <v>#NAME?</v>
      </c>
      <c r="AF14" s="482" t="e">
        <f ca="1">_xll.Get_Balance(AF3,"YTD","USD","Total","A","","001",$A$3,"GD","ID","DL")</f>
        <v>#NAME?</v>
      </c>
    </row>
    <row r="15" spans="1:39">
      <c r="B15" s="481" t="s">
        <v>245</v>
      </c>
      <c r="E15" s="482" t="e">
        <f t="shared" ref="E15:H15" ca="1" si="6">E13-E14</f>
        <v>#NAME?</v>
      </c>
      <c r="F15" s="482" t="e">
        <f t="shared" ca="1" si="6"/>
        <v>#NAME?</v>
      </c>
      <c r="G15" s="482" t="e">
        <f t="shared" ca="1" si="6"/>
        <v>#NAME?</v>
      </c>
      <c r="H15" s="482" t="e">
        <f t="shared" ca="1" si="6"/>
        <v>#NAME?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 t="e">
        <f t="shared" ref="S15:T15" ca="1" si="7">S13-S14</f>
        <v>#NAME?</v>
      </c>
      <c r="T15" s="482" t="e">
        <f t="shared" ca="1" si="7"/>
        <v>#NAME?</v>
      </c>
      <c r="U15" s="482" t="e">
        <f ca="1">U13-U14</f>
        <v>#NAME?</v>
      </c>
      <c r="V15" s="482" t="e">
        <f ca="1">V13-V14</f>
        <v>#NAME?</v>
      </c>
      <c r="W15" s="482" t="e">
        <f t="shared" ref="W15:AF15" ca="1" si="8">W13-W14</f>
        <v>#NAME?</v>
      </c>
      <c r="X15" s="482" t="e">
        <f t="shared" ca="1" si="8"/>
        <v>#NAME?</v>
      </c>
      <c r="Y15" s="482" t="e">
        <f t="shared" ca="1" si="8"/>
        <v>#NAME?</v>
      </c>
      <c r="Z15" s="482" t="e">
        <f t="shared" ca="1" si="8"/>
        <v>#NAME?</v>
      </c>
      <c r="AA15" s="482" t="e">
        <f t="shared" ca="1" si="8"/>
        <v>#NAME?</v>
      </c>
      <c r="AB15" s="482" t="e">
        <f t="shared" ca="1" si="8"/>
        <v>#NAME?</v>
      </c>
      <c r="AC15" s="482" t="e">
        <f t="shared" ca="1" si="8"/>
        <v>#NAME?</v>
      </c>
      <c r="AD15" s="482" t="e">
        <f t="shared" ca="1" si="8"/>
        <v>#NAME?</v>
      </c>
      <c r="AE15" s="482" t="e">
        <f t="shared" ca="1" si="8"/>
        <v>#NAME?</v>
      </c>
      <c r="AF15" s="482" t="e">
        <f t="shared" ca="1" si="8"/>
        <v>#NAME?</v>
      </c>
    </row>
    <row r="16" spans="1:39">
      <c r="A16" s="483" t="s">
        <v>271</v>
      </c>
      <c r="U16" s="482" t="s">
        <v>330</v>
      </c>
    </row>
    <row r="17" spans="1:39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I17" s="558"/>
      <c r="AL17" s="482">
        <v>0</v>
      </c>
    </row>
    <row r="18" spans="1:39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9">U18+1</f>
        <v>201502</v>
      </c>
      <c r="W18" s="484">
        <f t="shared" si="9"/>
        <v>201503</v>
      </c>
      <c r="X18" s="484">
        <f t="shared" si="9"/>
        <v>201504</v>
      </c>
      <c r="Y18" s="484">
        <f t="shared" si="9"/>
        <v>201505</v>
      </c>
      <c r="Z18" s="484">
        <f t="shared" si="9"/>
        <v>201506</v>
      </c>
      <c r="AA18" s="484">
        <f t="shared" si="9"/>
        <v>201507</v>
      </c>
      <c r="AB18" s="484">
        <f t="shared" si="9"/>
        <v>201508</v>
      </c>
      <c r="AC18" s="484">
        <f t="shared" si="9"/>
        <v>201509</v>
      </c>
      <c r="AD18" s="484">
        <f t="shared" si="9"/>
        <v>201510</v>
      </c>
      <c r="AE18" s="484">
        <f t="shared" si="9"/>
        <v>201511</v>
      </c>
      <c r="AF18" s="484">
        <f t="shared" si="9"/>
        <v>201512</v>
      </c>
      <c r="AI18" s="558"/>
    </row>
    <row r="19" spans="1:39">
      <c r="A19" s="483"/>
      <c r="B19" s="481" t="s">
        <v>37</v>
      </c>
      <c r="C19" s="491">
        <f>SUM(U19:AF19)</f>
        <v>39097164</v>
      </c>
      <c r="D19" s="491">
        <f>SUM(F19:Q19)</f>
        <v>56675951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f>Jan!$K36</f>
        <v>8991869</v>
      </c>
      <c r="V19" s="491">
        <f>Feb!$K36</f>
        <v>5607449</v>
      </c>
      <c r="W19" s="491">
        <f>Mar!$K36</f>
        <v>5090227</v>
      </c>
      <c r="X19" s="491">
        <f>Apr!$K36</f>
        <v>3621515</v>
      </c>
      <c r="Y19" s="491">
        <f>May!$K36</f>
        <v>1624041</v>
      </c>
      <c r="Z19" s="491">
        <f>Jun!$K36</f>
        <v>985347</v>
      </c>
      <c r="AA19" s="491">
        <f>Jul!$K36</f>
        <v>990038</v>
      </c>
      <c r="AB19" s="491">
        <f>Aug!$K36</f>
        <v>930531</v>
      </c>
      <c r="AC19" s="491">
        <f>Sep!$K36</f>
        <v>1531464</v>
      </c>
      <c r="AD19" s="491">
        <f>Oct!$K36</f>
        <v>2476612</v>
      </c>
      <c r="AE19" s="491">
        <f>Nov!$K36</f>
        <v>7248071</v>
      </c>
      <c r="AF19" s="491">
        <f>Dec!$K36</f>
        <v>0</v>
      </c>
      <c r="AG19" s="491"/>
    </row>
    <row r="20" spans="1:39">
      <c r="A20" s="483"/>
      <c r="B20" s="481" t="s">
        <v>38</v>
      </c>
      <c r="C20" s="491">
        <f t="shared" ref="C20:C24" si="10">SUM(U20:AF20)</f>
        <v>18037646</v>
      </c>
      <c r="D20" s="491">
        <f>SUM(F20:Q20)</f>
        <v>22466066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f>Jan!$K37</f>
        <v>2818068</v>
      </c>
      <c r="V20" s="491">
        <f>Feb!$K37</f>
        <v>2333245</v>
      </c>
      <c r="W20" s="491">
        <f>Mar!$K37</f>
        <v>1927746</v>
      </c>
      <c r="X20" s="491">
        <f>Apr!$K37</f>
        <v>1633221</v>
      </c>
      <c r="Y20" s="491">
        <f>May!$K37</f>
        <v>1075904</v>
      </c>
      <c r="Z20" s="491">
        <f>Jun!$K37</f>
        <v>1089173</v>
      </c>
      <c r="AA20" s="491">
        <f>Jul!$K37</f>
        <v>964252</v>
      </c>
      <c r="AB20" s="491">
        <f>Aug!$K37</f>
        <v>1322423</v>
      </c>
      <c r="AC20" s="491">
        <f>Sep!$K37</f>
        <v>1101192</v>
      </c>
      <c r="AD20" s="491">
        <f>Oct!$K37</f>
        <v>1392647</v>
      </c>
      <c r="AE20" s="491">
        <f>Nov!$K37</f>
        <v>2379775</v>
      </c>
      <c r="AF20" s="491">
        <f>Dec!$K37</f>
        <v>0</v>
      </c>
      <c r="AG20" s="491"/>
    </row>
    <row r="21" spans="1:39" hidden="1">
      <c r="A21" s="483"/>
      <c r="B21" s="481" t="s">
        <v>39</v>
      </c>
      <c r="C21" s="491">
        <f t="shared" si="10"/>
        <v>0</v>
      </c>
      <c r="D21" s="491">
        <f>SUM(G21:R21)</f>
        <v>0</v>
      </c>
      <c r="E21" s="491"/>
      <c r="F21" s="491"/>
      <c r="G21" s="491"/>
      <c r="H21" s="491"/>
    </row>
    <row r="22" spans="1:39" hidden="1">
      <c r="A22" s="483"/>
      <c r="B22" s="481" t="s">
        <v>40</v>
      </c>
      <c r="C22" s="491">
        <f t="shared" si="10"/>
        <v>0</v>
      </c>
      <c r="D22" s="491">
        <f>SUM(G22:R22)</f>
        <v>0</v>
      </c>
      <c r="E22" s="491"/>
      <c r="F22" s="491"/>
      <c r="G22" s="491"/>
      <c r="H22" s="491"/>
    </row>
    <row r="23" spans="1:39" hidden="1">
      <c r="A23" s="483"/>
      <c r="B23" s="481" t="s">
        <v>41</v>
      </c>
      <c r="C23" s="491">
        <f t="shared" si="10"/>
        <v>0</v>
      </c>
      <c r="D23" s="491">
        <f>SUM(G23:R23)</f>
        <v>0</v>
      </c>
      <c r="E23" s="491"/>
      <c r="F23" s="491"/>
      <c r="G23" s="491"/>
      <c r="H23" s="491"/>
    </row>
    <row r="24" spans="1:39">
      <c r="A24" s="483"/>
      <c r="B24" s="481" t="s">
        <v>42</v>
      </c>
      <c r="C24" s="491">
        <f t="shared" si="10"/>
        <v>0</v>
      </c>
      <c r="D24" s="491">
        <f>SUM(F24:Q24)</f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f>Jan!$K41</f>
        <v>0</v>
      </c>
      <c r="V24" s="491">
        <f>Feb!$K41</f>
        <v>0</v>
      </c>
      <c r="W24" s="491">
        <f>Mar!$K41</f>
        <v>0</v>
      </c>
      <c r="X24" s="491">
        <f>Apr!$K41</f>
        <v>0</v>
      </c>
      <c r="Y24" s="491">
        <f>May!$K41</f>
        <v>0</v>
      </c>
      <c r="Z24" s="491">
        <f>Jun!$K41</f>
        <v>0</v>
      </c>
      <c r="AA24" s="491">
        <f>Jul!$K41</f>
        <v>0</v>
      </c>
      <c r="AB24" s="491">
        <f>Aug!$K41</f>
        <v>0</v>
      </c>
      <c r="AC24" s="491">
        <f>Sep!$K41</f>
        <v>0</v>
      </c>
      <c r="AD24" s="491">
        <f>Oct!$K41</f>
        <v>0</v>
      </c>
      <c r="AE24" s="491">
        <f>Nov!$K41</f>
        <v>0</v>
      </c>
      <c r="AF24" s="491">
        <f>Dec!$K41</f>
        <v>0</v>
      </c>
      <c r="AG24" s="491"/>
    </row>
    <row r="25" spans="1:39" hidden="1">
      <c r="A25" s="483"/>
      <c r="B25" s="481" t="s">
        <v>43</v>
      </c>
      <c r="C25" s="491">
        <f t="shared" ref="C25:C26" si="11">SUM(I25:T25)</f>
        <v>0</v>
      </c>
      <c r="D25" s="491">
        <f>SUM(G25:R25)</f>
        <v>0</v>
      </c>
      <c r="E25" s="491"/>
      <c r="F25" s="491"/>
      <c r="G25" s="491"/>
      <c r="H25" s="491"/>
    </row>
    <row r="26" spans="1:39" hidden="1">
      <c r="A26" s="483"/>
      <c r="B26" s="481" t="s">
        <v>74</v>
      </c>
      <c r="C26" s="491">
        <f t="shared" si="11"/>
        <v>0</v>
      </c>
      <c r="D26" s="491">
        <f>SUM(G26:R26)</f>
        <v>0</v>
      </c>
      <c r="E26" s="491"/>
      <c r="F26" s="491"/>
      <c r="G26" s="491"/>
      <c r="H26" s="491"/>
    </row>
    <row r="27" spans="1:39" ht="16" thickBot="1">
      <c r="A27" s="483"/>
      <c r="B27" s="481" t="s">
        <v>21</v>
      </c>
      <c r="C27" s="542">
        <f>SUM(U27:AF27)</f>
        <v>57134810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2">SUM(G19:G26)</f>
        <v>9508099</v>
      </c>
      <c r="H27" s="542">
        <f t="shared" si="12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F27" si="13">SUM(U19:U26)</f>
        <v>11809937</v>
      </c>
      <c r="V27" s="542">
        <f t="shared" si="13"/>
        <v>7940694</v>
      </c>
      <c r="W27" s="542">
        <f t="shared" si="13"/>
        <v>7017973</v>
      </c>
      <c r="X27" s="542">
        <f t="shared" si="13"/>
        <v>5254736</v>
      </c>
      <c r="Y27" s="542">
        <f t="shared" si="13"/>
        <v>2699945</v>
      </c>
      <c r="Z27" s="542">
        <f t="shared" si="13"/>
        <v>2074520</v>
      </c>
      <c r="AA27" s="542">
        <f t="shared" si="13"/>
        <v>1954290</v>
      </c>
      <c r="AB27" s="542">
        <f t="shared" si="13"/>
        <v>2252954</v>
      </c>
      <c r="AC27" s="542">
        <f t="shared" si="13"/>
        <v>2632656</v>
      </c>
      <c r="AD27" s="542">
        <f t="shared" si="13"/>
        <v>3869259</v>
      </c>
      <c r="AE27" s="542">
        <f t="shared" si="13"/>
        <v>9627846</v>
      </c>
      <c r="AF27" s="542">
        <f t="shared" si="13"/>
        <v>0</v>
      </c>
    </row>
    <row r="28" spans="1:39" ht="16" thickTop="1">
      <c r="A28" s="483"/>
      <c r="B28" s="481" t="s">
        <v>269</v>
      </c>
      <c r="C28" s="491">
        <f>SUM(U28:AF28)</f>
        <v>43637705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/>
      <c r="AE28" s="543"/>
      <c r="AF28" s="543"/>
    </row>
    <row r="29" spans="1:39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</row>
    <row r="30" spans="1:39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4">U30+1</f>
        <v>201502</v>
      </c>
      <c r="W30" s="484">
        <f t="shared" si="14"/>
        <v>201503</v>
      </c>
      <c r="X30" s="484">
        <f t="shared" si="14"/>
        <v>201504</v>
      </c>
      <c r="Y30" s="484">
        <f t="shared" si="14"/>
        <v>201505</v>
      </c>
      <c r="Z30" s="484">
        <f t="shared" si="14"/>
        <v>201506</v>
      </c>
      <c r="AA30" s="484">
        <f t="shared" si="14"/>
        <v>201507</v>
      </c>
      <c r="AB30" s="484">
        <f t="shared" si="14"/>
        <v>201508</v>
      </c>
      <c r="AC30" s="484">
        <f t="shared" si="14"/>
        <v>201509</v>
      </c>
      <c r="AD30" s="484">
        <f t="shared" si="14"/>
        <v>201510</v>
      </c>
      <c r="AE30" s="484">
        <f t="shared" si="14"/>
        <v>201511</v>
      </c>
      <c r="AF30" s="484">
        <f t="shared" si="14"/>
        <v>201512</v>
      </c>
    </row>
    <row r="31" spans="1:39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270</v>
      </c>
      <c r="AF31" s="492" t="s">
        <v>270</v>
      </c>
      <c r="AH31" s="707"/>
      <c r="AI31" s="708"/>
      <c r="AJ31" s="708"/>
      <c r="AK31" s="708"/>
      <c r="AL31" s="708"/>
      <c r="AM31" s="564"/>
    </row>
    <row r="32" spans="1:39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270</v>
      </c>
      <c r="AF32" s="492" t="s">
        <v>270</v>
      </c>
      <c r="AH32" s="708"/>
      <c r="AI32" s="708"/>
      <c r="AJ32" s="708"/>
      <c r="AK32" s="708"/>
      <c r="AL32" s="708"/>
    </row>
    <row r="33" spans="1:39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H33" s="708"/>
      <c r="AI33" s="708"/>
      <c r="AJ33" s="708"/>
      <c r="AK33" s="708"/>
      <c r="AL33" s="708"/>
    </row>
    <row r="34" spans="1:39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H34" s="708"/>
      <c r="AI34" s="708"/>
      <c r="AJ34" s="708"/>
      <c r="AK34" s="708"/>
      <c r="AL34" s="708"/>
    </row>
    <row r="35" spans="1:39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H35" s="708"/>
      <c r="AI35" s="708"/>
      <c r="AJ35" s="708"/>
      <c r="AK35" s="708"/>
      <c r="AL35" s="708"/>
    </row>
    <row r="36" spans="1:39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270</v>
      </c>
      <c r="AF36" s="492" t="s">
        <v>270</v>
      </c>
      <c r="AH36" s="708"/>
      <c r="AI36" s="708"/>
      <c r="AJ36" s="708"/>
      <c r="AK36" s="708"/>
      <c r="AL36" s="708"/>
    </row>
    <row r="37" spans="1:39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</row>
    <row r="38" spans="1:39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</row>
    <row r="39" spans="1:39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H39" s="564"/>
    </row>
    <row r="40" spans="1:39" s="483" customFormat="1" ht="16" thickBot="1">
      <c r="A40" s="536">
        <v>191000</v>
      </c>
      <c r="B40" s="485" t="s">
        <v>256</v>
      </c>
      <c r="C40" s="486" t="s">
        <v>251</v>
      </c>
      <c r="D40" s="689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5">U40+1</f>
        <v>201502</v>
      </c>
      <c r="W40" s="484">
        <f t="shared" si="15"/>
        <v>201503</v>
      </c>
      <c r="X40" s="484">
        <f t="shared" si="15"/>
        <v>201504</v>
      </c>
      <c r="Y40" s="484">
        <f t="shared" si="15"/>
        <v>201505</v>
      </c>
      <c r="Z40" s="484">
        <f t="shared" si="15"/>
        <v>201506</v>
      </c>
      <c r="AA40" s="484">
        <f t="shared" si="15"/>
        <v>201507</v>
      </c>
      <c r="AB40" s="484">
        <f t="shared" si="15"/>
        <v>201508</v>
      </c>
      <c r="AC40" s="484">
        <f t="shared" si="15"/>
        <v>201509</v>
      </c>
      <c r="AD40" s="484">
        <f t="shared" si="15"/>
        <v>201510</v>
      </c>
      <c r="AE40" s="484">
        <f t="shared" si="15"/>
        <v>201511</v>
      </c>
      <c r="AF40" s="484">
        <f t="shared" si="15"/>
        <v>201512</v>
      </c>
      <c r="AH40" s="564"/>
      <c r="AI40" s="484"/>
    </row>
    <row r="41" spans="1:39" s="483" customFormat="1" ht="16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H41" s="513">
        <f>AH4</f>
        <v>201509</v>
      </c>
      <c r="AI41" s="526"/>
      <c r="AJ41" s="514"/>
      <c r="AK41" s="514"/>
      <c r="AL41" s="514"/>
      <c r="AM41" s="515"/>
    </row>
    <row r="42" spans="1:39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f>T47</f>
        <v>-1737468.3702166961</v>
      </c>
      <c r="V42" s="482">
        <f>U47</f>
        <v>-1379625.346046696</v>
      </c>
      <c r="W42" s="482">
        <f t="shared" ref="W42:AE42" si="16">V47</f>
        <v>-1139196.8415066958</v>
      </c>
      <c r="X42" s="482">
        <f t="shared" si="16"/>
        <v>-927936.74257669575</v>
      </c>
      <c r="Y42" s="482">
        <f t="shared" si="16"/>
        <v>-767403.9580847763</v>
      </c>
      <c r="Z42" s="482">
        <f t="shared" si="16"/>
        <v>-685903.92338007619</v>
      </c>
      <c r="AA42" s="482">
        <f t="shared" si="16"/>
        <v>-623363.07088572613</v>
      </c>
      <c r="AB42" s="482">
        <f t="shared" si="16"/>
        <v>-564427.81872858922</v>
      </c>
      <c r="AC42" s="482">
        <f t="shared" si="16"/>
        <v>-496357.29729955469</v>
      </c>
      <c r="AD42" s="482">
        <f t="shared" si="16"/>
        <v>-416678.50147523766</v>
      </c>
      <c r="AE42" s="482">
        <f t="shared" si="16"/>
        <v>-299312.54063388787</v>
      </c>
      <c r="AF42" s="482">
        <f>AE47</f>
        <v>-299561.96775108279</v>
      </c>
      <c r="AH42" s="497" t="s">
        <v>308</v>
      </c>
      <c r="AI42" s="527">
        <v>419600</v>
      </c>
      <c r="AJ42" s="498" t="s">
        <v>288</v>
      </c>
      <c r="AK42" s="498" t="s">
        <v>291</v>
      </c>
      <c r="AL42" s="519">
        <v>0</v>
      </c>
      <c r="AM42" s="520">
        <f>IF(SUMIF(U40:AF40,AH41,U44:AF44)&gt;0,SUMIF(U40:AF40,AH41,U44:AF44),0)</f>
        <v>0</v>
      </c>
    </row>
    <row r="43" spans="1:39">
      <c r="B43" s="481" t="s">
        <v>23</v>
      </c>
      <c r="C43" s="482">
        <f>SUM(U43:AF43)</f>
        <v>1444686.7752400001</v>
      </c>
      <c r="D43" s="491">
        <f>SUM(F43:Q43)</f>
        <v>-10808.645800000002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17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Z43" si="18">SUMPRODUCT(V19:V26,V31:V38)</f>
        <v>241476.50453999999</v>
      </c>
      <c r="W43" s="482">
        <f t="shared" si="18"/>
        <v>213416.55893</v>
      </c>
      <c r="X43" s="482">
        <f t="shared" si="18"/>
        <v>159796.52176</v>
      </c>
      <c r="Y43" s="482">
        <f t="shared" si="18"/>
        <v>82105.327449999997</v>
      </c>
      <c r="Z43" s="482">
        <f t="shared" si="18"/>
        <v>63086.153200000001</v>
      </c>
      <c r="AA43" s="482">
        <f>SUMPRODUCT(AA19:AA26,AA31:AA38)</f>
        <v>59429.958899999998</v>
      </c>
      <c r="AB43" s="482">
        <f t="shared" ref="AB43:AD43" si="19">SUMPRODUCT(AB19:AB26,AB31:AB38)</f>
        <v>68512.331139999995</v>
      </c>
      <c r="AC43" s="482">
        <f t="shared" si="19"/>
        <v>80059.068960000004</v>
      </c>
      <c r="AD43" s="482">
        <f t="shared" si="19"/>
        <v>117664.16618999999</v>
      </c>
      <c r="AE43" s="563"/>
      <c r="AF43" s="563"/>
      <c r="AH43" s="499" t="s">
        <v>309</v>
      </c>
      <c r="AI43" s="528">
        <v>431600</v>
      </c>
      <c r="AJ43" s="358" t="s">
        <v>288</v>
      </c>
      <c r="AK43" s="358" t="s">
        <v>291</v>
      </c>
      <c r="AL43" s="381">
        <f>IF(SUMIF(U40:AF40,AH41,U44:AF44)&lt;0,-SUMIF(U40:AF40,AH41,U44:AF44),0)</f>
        <v>380.27313568296228</v>
      </c>
      <c r="AM43" s="500">
        <v>0</v>
      </c>
    </row>
    <row r="44" spans="1:39">
      <c r="B44" s="481" t="s">
        <v>4</v>
      </c>
      <c r="C44" s="482">
        <f t="shared" ref="C44:C46" si="20">SUM(U44:AF44)</f>
        <v>-7174.6277475130237</v>
      </c>
      <c r="D44" s="491">
        <f>SUM(F44:Q44)</f>
        <v>1068.3629816064952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f>(((X42+X46)*(X41/12))+((X43/2)*(X41/12)))</f>
        <v>-705.49726808057983</v>
      </c>
      <c r="Y44" s="489">
        <f t="shared" ref="Y44:AD44" si="21">((Y42*(Y41/12))+((Y43/2)*(Y41/12)))</f>
        <v>-605.29274529981353</v>
      </c>
      <c r="Z44" s="489">
        <f t="shared" si="21"/>
        <v>-545.30070565006349</v>
      </c>
      <c r="AA44" s="489">
        <f t="shared" si="21"/>
        <v>-494.70674286310515</v>
      </c>
      <c r="AB44" s="489">
        <f t="shared" si="21"/>
        <v>-441.80971096549104</v>
      </c>
      <c r="AC44" s="489">
        <f t="shared" si="21"/>
        <v>-380.27313568296228</v>
      </c>
      <c r="AD44" s="489">
        <f t="shared" si="21"/>
        <v>-298.20534865019806</v>
      </c>
      <c r="AE44" s="560">
        <f>((AE42+AE45)*(AE41/12))+(((AE43+AE46)/2)*(AE41/12))</f>
        <v>-249.42711719490657</v>
      </c>
      <c r="AF44" s="560">
        <f t="shared" ref="AF44" si="22">((AF42*(AF41/12))+((AF43/2)*(AF41/12)))</f>
        <v>-249.63497312590235</v>
      </c>
      <c r="AH44" s="499" t="s">
        <v>310</v>
      </c>
      <c r="AI44" s="528">
        <v>191000</v>
      </c>
      <c r="AJ44" s="358" t="s">
        <v>288</v>
      </c>
      <c r="AK44" s="358" t="s">
        <v>291</v>
      </c>
      <c r="AL44" s="381">
        <f>IF((SUMIF(U40:AF40,AH41,U43:AF43)+SUMIF(U40:AF40,AH41,U44:AF44))&gt;0,(SUMIF(U40:AF40,AH41,U43:AF43)+SUMIF(U40:AF40,AH41,U44:AF44)),0)</f>
        <v>79678.795824317043</v>
      </c>
      <c r="AM44" s="500">
        <f>IF((SUMIF(U40:AF40,AH41,U43:AF43)+SUMIF(U40:AF40,AH41,U44:AF44))&lt;0,-(SUMIF(U40:AF40,AH41,U43:AF43)+SUMIF(U40:AF40,AH41,U44:AF44)),0)</f>
        <v>0</v>
      </c>
    </row>
    <row r="45" spans="1:39">
      <c r="B45" s="481" t="s">
        <v>259</v>
      </c>
      <c r="C45" s="482">
        <f t="shared" si="20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63">
        <f>-AE9-AE10-AE11</f>
        <v>0</v>
      </c>
      <c r="AF45" s="563">
        <v>0</v>
      </c>
      <c r="AH45" s="499" t="s">
        <v>311</v>
      </c>
      <c r="AI45" s="528">
        <v>805110</v>
      </c>
      <c r="AJ45" s="358" t="s">
        <v>288</v>
      </c>
      <c r="AK45" s="358" t="s">
        <v>291</v>
      </c>
      <c r="AL45" s="381">
        <f>IF((SUMIF(U40:AF40,AH41,U43:AF43))&lt;0,-(SUMIF(U40:AF40,AH41,U43:AF43)),0)</f>
        <v>0</v>
      </c>
      <c r="AM45" s="500">
        <f>IF((SUMIF(U40:AF40,AH41,U43:AF43))&gt;0,(SUMIF(U40:AF40,AH41,U43:AF43)),0)</f>
        <v>80059.068960000004</v>
      </c>
    </row>
    <row r="46" spans="1:39">
      <c r="B46" s="481" t="s">
        <v>148</v>
      </c>
      <c r="C46" s="482">
        <f t="shared" si="20"/>
        <v>144.61999999999989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63"/>
      <c r="AF46" s="563">
        <f>-AE46*2</f>
        <v>0</v>
      </c>
      <c r="AH46" s="499" t="s">
        <v>156</v>
      </c>
      <c r="AI46" s="528">
        <f t="shared" ref="AI46:AK47" si="23">AI44</f>
        <v>191000</v>
      </c>
      <c r="AJ46" s="528" t="str">
        <f t="shared" si="23"/>
        <v>GD</v>
      </c>
      <c r="AK46" s="528" t="str">
        <f t="shared" si="23"/>
        <v>ID</v>
      </c>
      <c r="AL46" s="381">
        <v>0</v>
      </c>
      <c r="AM46" s="500"/>
    </row>
    <row r="47" spans="1:39" ht="16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24">SUM(F42:F46)</f>
        <v>122203.74560073584</v>
      </c>
      <c r="G47" s="541">
        <f t="shared" si="24"/>
        <v>121907.05607206978</v>
      </c>
      <c r="H47" s="541">
        <f t="shared" si="24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F47" si="25">SUM(V42:V46)</f>
        <v>-1139196.8415066958</v>
      </c>
      <c r="W47" s="541">
        <f t="shared" si="25"/>
        <v>-927936.74257669575</v>
      </c>
      <c r="X47" s="541">
        <f t="shared" si="25"/>
        <v>-767403.9580847763</v>
      </c>
      <c r="Y47" s="541">
        <f t="shared" si="25"/>
        <v>-685903.92338007619</v>
      </c>
      <c r="Z47" s="541">
        <f t="shared" si="25"/>
        <v>-623363.07088572613</v>
      </c>
      <c r="AA47" s="541">
        <f t="shared" si="25"/>
        <v>-564427.81872858922</v>
      </c>
      <c r="AB47" s="541">
        <f t="shared" si="25"/>
        <v>-496357.29729955469</v>
      </c>
      <c r="AC47" s="541">
        <f t="shared" si="25"/>
        <v>-416678.50147523766</v>
      </c>
      <c r="AD47" s="541">
        <f t="shared" si="25"/>
        <v>-299312.54063388787</v>
      </c>
      <c r="AE47" s="541">
        <f t="shared" si="25"/>
        <v>-299561.96775108279</v>
      </c>
      <c r="AF47" s="541">
        <f t="shared" si="25"/>
        <v>-299811.60272420867</v>
      </c>
      <c r="AH47" s="501" t="str">
        <f>AH46</f>
        <v>Large Customer Refund</v>
      </c>
      <c r="AI47" s="529">
        <f t="shared" si="23"/>
        <v>805110</v>
      </c>
      <c r="AJ47" s="529" t="str">
        <f t="shared" si="23"/>
        <v>GD</v>
      </c>
      <c r="AK47" s="529" t="str">
        <f t="shared" si="23"/>
        <v>ID</v>
      </c>
      <c r="AL47" s="503"/>
      <c r="AM47" s="521">
        <v>0</v>
      </c>
    </row>
    <row r="48" spans="1:39" ht="16.5" thickTop="1" thickBot="1">
      <c r="B48" s="481" t="s">
        <v>260</v>
      </c>
      <c r="E48" s="482" t="e">
        <f ca="1">_xll.Get_Balance(E40,"YTD","USD","Total","A","","001",$A$40,"GD","ID","DL")</f>
        <v>#NAME?</v>
      </c>
      <c r="F48" s="482" t="e">
        <f ca="1">_xll.Get_Balance(F40,"YTD","USD","Total","A","","001",$A$40,"GD","ID","DL")</f>
        <v>#NAME?</v>
      </c>
      <c r="G48" s="482" t="e">
        <f ca="1">_xll.Get_Balance(G40,"YTD","USD","Total","A","","001",$A$40,"GD","ID","DL")</f>
        <v>#NAME?</v>
      </c>
      <c r="H48" s="482" t="e">
        <f ca="1">_xll.Get_Balance(H40,"YTD","USD","Total","A","","001",$A$40,"GD","ID","DL")</f>
        <v>#NAME?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 t="e">
        <f ca="1">_xll.Get_Balance(S40,"YTD","USD","Total","A","","001",$A$40,"GD","ID","DL")</f>
        <v>#NAME?</v>
      </c>
      <c r="T48" s="482" t="e">
        <f ca="1">_xll.Get_Balance(T40,"YTD","USD","Total","A","","001",$A$40,"GD","ID","DL")</f>
        <v>#NAME?</v>
      </c>
      <c r="U48" s="482" t="e">
        <f ca="1">_xll.Get_Balance(U40,"YTD","USD","Total","A","","001",$A$40,"GD","ID","DL")</f>
        <v>#NAME?</v>
      </c>
      <c r="V48" s="482" t="e">
        <f ca="1">_xll.Get_Balance(V40,"YTD","USD","Total","A","","001",$A$40,"GD","ID","DL")</f>
        <v>#NAME?</v>
      </c>
      <c r="W48" s="482" t="e">
        <f ca="1">_xll.Get_Balance(W40,"YTD","USD","Total","A","","001",$A$40,"GD","ID","DL")</f>
        <v>#NAME?</v>
      </c>
      <c r="X48" s="482" t="e">
        <f ca="1">_xll.Get_Balance(X40,"YTD","USD","Total","A","","001",$A$40,"GD","ID","DL")</f>
        <v>#NAME?</v>
      </c>
      <c r="Y48" s="482" t="e">
        <f ca="1">_xll.Get_Balance(Y40,"YTD","USD","Total","A","","001",$A$40,"GD","ID","DL")</f>
        <v>#NAME?</v>
      </c>
      <c r="Z48" s="482" t="e">
        <f ca="1">_xll.Get_Balance(Z40,"YTD","USD","Total","A","","001",$A$40,"GD","ID","DL")</f>
        <v>#NAME?</v>
      </c>
      <c r="AA48" s="482" t="e">
        <f ca="1">_xll.Get_Balance(AA40,"YTD","USD","Total","A","","001",$A$40,"GD","ID","DL")</f>
        <v>#NAME?</v>
      </c>
      <c r="AB48" s="482" t="e">
        <f ca="1">_xll.Get_Balance(AB40,"YTD","USD","Total","A","","001",$A$40,"GD","ID","DL")</f>
        <v>#NAME?</v>
      </c>
      <c r="AC48" s="482" t="e">
        <f ca="1">_xll.Get_Balance(AC40,"YTD","USD","Total","A","","001",$A$40,"GD","ID","DL")</f>
        <v>#NAME?</v>
      </c>
      <c r="AD48" s="482" t="e">
        <f ca="1">_xll.Get_Balance(AD40,"YTD","USD","Total","A","","001",$A$40,"GD","ID","DL")</f>
        <v>#NAME?</v>
      </c>
      <c r="AE48" s="482" t="e">
        <f ca="1">_xll.Get_Balance(AE40,"YTD","USD","Total","A","","001",$A$40,"GD","ID","DL")</f>
        <v>#NAME?</v>
      </c>
      <c r="AF48" s="482" t="e">
        <f ca="1">_xll.Get_Balance(AF40,"YTD","USD","Total","A","","001",$A$40,"GD","ID","DL")</f>
        <v>#NAME?</v>
      </c>
      <c r="AH48" s="516"/>
      <c r="AI48" s="530"/>
      <c r="AJ48" s="517"/>
      <c r="AK48" s="517"/>
      <c r="AL48" s="517" t="s">
        <v>159</v>
      </c>
      <c r="AM48" s="518">
        <f>SUM(AL42:AL47)-SUM(AM42:AM47)</f>
        <v>0</v>
      </c>
    </row>
    <row r="49" spans="1:33">
      <c r="B49" s="481" t="s">
        <v>245</v>
      </c>
      <c r="E49" s="482" t="e">
        <f t="shared" ref="E49:H49" ca="1" si="26">E47-E48</f>
        <v>#NAME?</v>
      </c>
      <c r="F49" s="482" t="e">
        <f t="shared" ca="1" si="26"/>
        <v>#NAME?</v>
      </c>
      <c r="G49" s="482" t="e">
        <f t="shared" ca="1" si="26"/>
        <v>#NAME?</v>
      </c>
      <c r="H49" s="482" t="e">
        <f t="shared" ca="1" si="26"/>
        <v>#NAME?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 t="e">
        <f ca="1">S47-S48</f>
        <v>#NAME?</v>
      </c>
      <c r="T49" s="482" t="e">
        <f ca="1">T47-T48</f>
        <v>#NAME?</v>
      </c>
      <c r="U49" s="482" t="e">
        <f ca="1">U47-U48</f>
        <v>#NAME?</v>
      </c>
      <c r="V49" s="482" t="e">
        <f t="shared" ref="V49:AG49" ca="1" si="27">V47-V48</f>
        <v>#NAME?</v>
      </c>
      <c r="W49" s="482" t="e">
        <f t="shared" ca="1" si="27"/>
        <v>#NAME?</v>
      </c>
      <c r="X49" s="482" t="e">
        <f t="shared" ca="1" si="27"/>
        <v>#NAME?</v>
      </c>
      <c r="Y49" s="482" t="e">
        <f t="shared" ca="1" si="27"/>
        <v>#NAME?</v>
      </c>
      <c r="Z49" s="482" t="e">
        <f t="shared" ca="1" si="27"/>
        <v>#NAME?</v>
      </c>
      <c r="AA49" s="482" t="e">
        <f t="shared" ca="1" si="27"/>
        <v>#NAME?</v>
      </c>
      <c r="AB49" s="482" t="e">
        <f t="shared" ca="1" si="27"/>
        <v>#NAME?</v>
      </c>
      <c r="AC49" s="482" t="e">
        <f t="shared" ca="1" si="27"/>
        <v>#NAME?</v>
      </c>
      <c r="AD49" s="482" t="e">
        <f t="shared" ca="1" si="27"/>
        <v>#NAME?</v>
      </c>
      <c r="AE49" s="482" t="e">
        <f t="shared" ca="1" si="27"/>
        <v>#NAME?</v>
      </c>
      <c r="AF49" s="482" t="e">
        <f t="shared" ca="1" si="27"/>
        <v>#NAME?</v>
      </c>
      <c r="AG49" s="482">
        <f t="shared" si="27"/>
        <v>0</v>
      </c>
    </row>
    <row r="50" spans="1:33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</row>
    <row r="51" spans="1:33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28">U51+1</f>
        <v>201502</v>
      </c>
      <c r="W51" s="484">
        <f t="shared" si="28"/>
        <v>201503</v>
      </c>
      <c r="X51" s="484">
        <f t="shared" si="28"/>
        <v>201504</v>
      </c>
      <c r="Y51" s="484">
        <f t="shared" si="28"/>
        <v>201505</v>
      </c>
      <c r="Z51" s="484">
        <f t="shared" si="28"/>
        <v>201506</v>
      </c>
      <c r="AA51" s="484">
        <f t="shared" si="28"/>
        <v>201507</v>
      </c>
      <c r="AB51" s="484">
        <f t="shared" si="28"/>
        <v>201508</v>
      </c>
      <c r="AC51" s="484">
        <f t="shared" si="28"/>
        <v>201509</v>
      </c>
      <c r="AD51" s="484">
        <f t="shared" si="28"/>
        <v>201510</v>
      </c>
      <c r="AE51" s="484">
        <f t="shared" si="28"/>
        <v>201511</v>
      </c>
      <c r="AF51" s="484">
        <f t="shared" si="28"/>
        <v>201512</v>
      </c>
    </row>
    <row r="52" spans="1:33">
      <c r="A52" s="483"/>
      <c r="B52" s="481" t="s">
        <v>37</v>
      </c>
      <c r="C52" s="491">
        <f>SUM(U52:AF52)</f>
        <v>39097164</v>
      </c>
      <c r="D52" s="491">
        <f>SUM(F52:Q52)</f>
        <v>52384687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f>Jan!$K36</f>
        <v>8991869</v>
      </c>
      <c r="V52" s="491">
        <f>Feb!$K36</f>
        <v>5607449</v>
      </c>
      <c r="W52" s="491">
        <f>Mar!$K36</f>
        <v>5090227</v>
      </c>
      <c r="X52" s="491">
        <f>Apr!$K36</f>
        <v>3621515</v>
      </c>
      <c r="Y52" s="491">
        <f>May!$K36</f>
        <v>1624041</v>
      </c>
      <c r="Z52" s="491">
        <f>Jun!$K36</f>
        <v>985347</v>
      </c>
      <c r="AA52" s="491">
        <f>Jul!$K36</f>
        <v>990038</v>
      </c>
      <c r="AB52" s="491">
        <f>Aug!$K36</f>
        <v>930531</v>
      </c>
      <c r="AC52" s="491">
        <f>Sep!$K36</f>
        <v>1531464</v>
      </c>
      <c r="AD52" s="491">
        <f>Oct!$K36</f>
        <v>2476612</v>
      </c>
      <c r="AE52" s="491">
        <f>Nov!$K36</f>
        <v>7248071</v>
      </c>
      <c r="AF52" s="491">
        <f>Dec!$K36</f>
        <v>0</v>
      </c>
      <c r="AG52" s="491">
        <f>Jan!$K36</f>
        <v>8991869</v>
      </c>
    </row>
    <row r="53" spans="1:33">
      <c r="A53" s="483"/>
      <c r="B53" s="481" t="s">
        <v>38</v>
      </c>
      <c r="C53" s="491">
        <f t="shared" ref="C53:C60" si="29">SUM(U53:AF53)</f>
        <v>18037646</v>
      </c>
      <c r="D53" s="491">
        <f>SUM(F53:Q53)</f>
        <v>20863784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f>Jan!$K37</f>
        <v>2818068</v>
      </c>
      <c r="V53" s="491">
        <f>Feb!$K37</f>
        <v>2333245</v>
      </c>
      <c r="W53" s="491">
        <f>Mar!$K37</f>
        <v>1927746</v>
      </c>
      <c r="X53" s="491">
        <f>Apr!$K37</f>
        <v>1633221</v>
      </c>
      <c r="Y53" s="491">
        <f>May!$K37</f>
        <v>1075904</v>
      </c>
      <c r="Z53" s="491">
        <f>Jun!$K37</f>
        <v>1089173</v>
      </c>
      <c r="AA53" s="491">
        <f>Jul!$K37</f>
        <v>964252</v>
      </c>
      <c r="AB53" s="491">
        <f>Aug!$K37</f>
        <v>1322423</v>
      </c>
      <c r="AC53" s="491">
        <f>Sep!$K37</f>
        <v>1101192</v>
      </c>
      <c r="AD53" s="491">
        <f>Oct!$K37</f>
        <v>1392647</v>
      </c>
      <c r="AE53" s="491">
        <f>Nov!$K37</f>
        <v>2379775</v>
      </c>
      <c r="AF53" s="491">
        <f>Dec!$K37</f>
        <v>0</v>
      </c>
      <c r="AG53" s="491">
        <f>Jan!$K37</f>
        <v>2818068</v>
      </c>
    </row>
    <row r="54" spans="1:33">
      <c r="A54" s="483"/>
      <c r="B54" s="481" t="s">
        <v>39</v>
      </c>
      <c r="C54" s="491">
        <f t="shared" si="29"/>
        <v>246353</v>
      </c>
      <c r="D54" s="491">
        <f>SUM(F54:Q54)</f>
        <v>216282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f>Jan!$K38</f>
        <v>2994</v>
      </c>
      <c r="V54" s="491">
        <f>Feb!$K38</f>
        <v>1973</v>
      </c>
      <c r="W54" s="491">
        <f>Mar!$K38</f>
        <v>871</v>
      </c>
      <c r="X54" s="491">
        <f>Apr!$K38</f>
        <v>5610</v>
      </c>
      <c r="Y54" s="491">
        <f>May!$K38</f>
        <v>18173</v>
      </c>
      <c r="Z54" s="491">
        <f>Jun!$K38</f>
        <v>21920</v>
      </c>
      <c r="AA54" s="491">
        <f>Jul!$K38</f>
        <v>28026</v>
      </c>
      <c r="AB54" s="491">
        <f>Aug!$K38</f>
        <v>47622</v>
      </c>
      <c r="AC54" s="491">
        <f>Sep!$K38</f>
        <v>26734</v>
      </c>
      <c r="AD54" s="491">
        <f>Oct!$K38</f>
        <v>68934</v>
      </c>
      <c r="AE54" s="491">
        <f>Nov!$K38</f>
        <v>23496</v>
      </c>
      <c r="AF54" s="491">
        <f>Dec!$K38</f>
        <v>0</v>
      </c>
      <c r="AG54" s="491">
        <f>Jan!$K38</f>
        <v>2994</v>
      </c>
    </row>
    <row r="55" spans="1:33">
      <c r="A55" s="483"/>
      <c r="B55" s="481" t="s">
        <v>40</v>
      </c>
      <c r="C55" s="491">
        <f t="shared" si="29"/>
        <v>0</v>
      </c>
      <c r="D55" s="491">
        <f>SUM(F55:Q55)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f>Jan!$K39</f>
        <v>0</v>
      </c>
      <c r="V55" s="491">
        <f>Feb!$K39</f>
        <v>0</v>
      </c>
      <c r="W55" s="491">
        <f>Mar!$K39</f>
        <v>0</v>
      </c>
      <c r="X55" s="491">
        <f>Apr!$K39</f>
        <v>0</v>
      </c>
      <c r="Y55" s="491">
        <f>May!$K39</f>
        <v>0</v>
      </c>
      <c r="Z55" s="491">
        <f>Jun!$K39</f>
        <v>0</v>
      </c>
      <c r="AA55" s="491">
        <f>Jul!$K39</f>
        <v>0</v>
      </c>
      <c r="AB55" s="491">
        <f>Aug!$K39</f>
        <v>0</v>
      </c>
      <c r="AC55" s="491">
        <f>Sep!$K39</f>
        <v>0</v>
      </c>
      <c r="AD55" s="491">
        <f>Oct!$K39</f>
        <v>0</v>
      </c>
      <c r="AE55" s="491">
        <f>Nov!$K39</f>
        <v>0</v>
      </c>
      <c r="AF55" s="491">
        <f>Dec!$K39</f>
        <v>0</v>
      </c>
      <c r="AG55" s="491">
        <f>Jan!$K39</f>
        <v>0</v>
      </c>
    </row>
    <row r="56" spans="1:33" hidden="1">
      <c r="A56" s="483"/>
      <c r="B56" s="481" t="s">
        <v>41</v>
      </c>
      <c r="C56" s="491">
        <f t="shared" si="29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</row>
    <row r="57" spans="1:33" hidden="1">
      <c r="A57" s="483"/>
      <c r="B57" s="481" t="s">
        <v>42</v>
      </c>
      <c r="C57" s="491">
        <f t="shared" si="29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</row>
    <row r="58" spans="1:33">
      <c r="A58" s="483"/>
      <c r="B58" s="481" t="s">
        <v>43</v>
      </c>
      <c r="C58" s="491">
        <f t="shared" si="29"/>
        <v>148273</v>
      </c>
      <c r="D58" s="491">
        <f>SUM(F58:Q58)</f>
        <v>312916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f>Jan!$K42</f>
        <v>40458</v>
      </c>
      <c r="V58" s="491">
        <f>Feb!$K42</f>
        <v>33212</v>
      </c>
      <c r="W58" s="491">
        <f>Mar!$K42</f>
        <v>33140</v>
      </c>
      <c r="X58" s="491">
        <f>Apr!$K42</f>
        <v>25684</v>
      </c>
      <c r="Y58" s="491">
        <f>May!$K42</f>
        <v>15779</v>
      </c>
      <c r="Z58" s="491">
        <f>Jun!$K42</f>
        <v>0</v>
      </c>
      <c r="AA58" s="491">
        <f>Jul!$K42</f>
        <v>0</v>
      </c>
      <c r="AB58" s="491">
        <f>Aug!$K42</f>
        <v>0</v>
      </c>
      <c r="AC58" s="491">
        <f>Sep!$K42</f>
        <v>0</v>
      </c>
      <c r="AD58" s="491">
        <f>Oct!$K42</f>
        <v>0</v>
      </c>
      <c r="AE58" s="491">
        <f>Nov!$K42</f>
        <v>0</v>
      </c>
      <c r="AF58" s="491">
        <f>Dec!$K42</f>
        <v>0</v>
      </c>
      <c r="AG58" s="491">
        <f>Jan!$K42</f>
        <v>40458</v>
      </c>
    </row>
    <row r="59" spans="1:33" hidden="1">
      <c r="A59" s="483"/>
      <c r="B59" s="481" t="s">
        <v>74</v>
      </c>
      <c r="C59" s="491">
        <f t="shared" ref="C59" si="30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</row>
    <row r="60" spans="1:33" ht="16" thickBot="1">
      <c r="A60" s="483"/>
      <c r="B60" s="481" t="s">
        <v>21</v>
      </c>
      <c r="C60" s="542">
        <f t="shared" si="29"/>
        <v>57529436</v>
      </c>
      <c r="D60" s="542">
        <f>SUM(F60:Q60)</f>
        <v>73777669</v>
      </c>
      <c r="E60" s="542" t="s">
        <v>272</v>
      </c>
      <c r="F60" s="542">
        <f>SUM(F52:F59)</f>
        <v>0</v>
      </c>
      <c r="G60" s="542">
        <f t="shared" ref="G60:H60" si="31">SUM(G52:G59)</f>
        <v>9560411</v>
      </c>
      <c r="H60" s="542">
        <f t="shared" si="31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F60" si="32">SUM(U52:U59)</f>
        <v>11853389</v>
      </c>
      <c r="V60" s="542">
        <f t="shared" si="32"/>
        <v>7975879</v>
      </c>
      <c r="W60" s="542">
        <f t="shared" si="32"/>
        <v>7051984</v>
      </c>
      <c r="X60" s="542">
        <f t="shared" si="32"/>
        <v>5286030</v>
      </c>
      <c r="Y60" s="542">
        <f t="shared" si="32"/>
        <v>2733897</v>
      </c>
      <c r="Z60" s="542">
        <f t="shared" si="32"/>
        <v>2096440</v>
      </c>
      <c r="AA60" s="542">
        <f t="shared" si="32"/>
        <v>1982316</v>
      </c>
      <c r="AB60" s="542">
        <f t="shared" si="32"/>
        <v>2300576</v>
      </c>
      <c r="AC60" s="542">
        <f t="shared" si="32"/>
        <v>2659390</v>
      </c>
      <c r="AD60" s="542">
        <f t="shared" si="32"/>
        <v>3938193</v>
      </c>
      <c r="AE60" s="542">
        <f t="shared" si="32"/>
        <v>9651342</v>
      </c>
      <c r="AF60" s="542">
        <f t="shared" si="32"/>
        <v>0</v>
      </c>
    </row>
    <row r="61" spans="1:33" ht="16" thickTop="1">
      <c r="A61" s="483"/>
      <c r="B61" s="481" t="s">
        <v>269</v>
      </c>
      <c r="C61" s="491">
        <f>SUM(U61:AF61)</f>
        <v>43939901</v>
      </c>
      <c r="D61" s="491">
        <f>SUM(F61:Q61)</f>
        <v>73777669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f>Mar!K44</f>
        <v>7051984</v>
      </c>
      <c r="X61" s="543">
        <v>5286030</v>
      </c>
      <c r="Y61" s="684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/>
      <c r="AE61" s="543"/>
    </row>
    <row r="62" spans="1:33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</row>
    <row r="63" spans="1:33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33">U63+1</f>
        <v>201502</v>
      </c>
      <c r="W63" s="484">
        <f t="shared" si="33"/>
        <v>201503</v>
      </c>
      <c r="X63" s="484">
        <f t="shared" si="33"/>
        <v>201504</v>
      </c>
      <c r="Y63" s="484">
        <f t="shared" si="33"/>
        <v>201505</v>
      </c>
      <c r="Z63" s="484">
        <f t="shared" si="33"/>
        <v>201506</v>
      </c>
      <c r="AA63" s="484">
        <f t="shared" si="33"/>
        <v>201507</v>
      </c>
      <c r="AB63" s="484">
        <f t="shared" si="33"/>
        <v>201508</v>
      </c>
      <c r="AC63" s="484">
        <f t="shared" si="33"/>
        <v>201509</v>
      </c>
      <c r="AD63" s="484">
        <f t="shared" si="33"/>
        <v>201510</v>
      </c>
      <c r="AE63" s="484">
        <f t="shared" si="33"/>
        <v>201511</v>
      </c>
      <c r="AF63" s="484">
        <f t="shared" si="33"/>
        <v>201512</v>
      </c>
    </row>
    <row r="64" spans="1:33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</row>
    <row r="65" spans="1:39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</row>
    <row r="66" spans="1:39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</row>
    <row r="67" spans="1:39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H67" s="707" t="s">
        <v>330</v>
      </c>
      <c r="AI67" s="708"/>
      <c r="AJ67" s="708"/>
      <c r="AK67" s="708"/>
      <c r="AL67" s="708"/>
      <c r="AM67" s="708"/>
    </row>
    <row r="68" spans="1:39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H68" s="708"/>
      <c r="AI68" s="708"/>
      <c r="AJ68" s="708"/>
      <c r="AK68" s="708"/>
      <c r="AL68" s="708"/>
      <c r="AM68" s="708"/>
    </row>
    <row r="69" spans="1:39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H69" s="708"/>
      <c r="AI69" s="708"/>
      <c r="AJ69" s="708"/>
      <c r="AK69" s="708"/>
      <c r="AL69" s="708"/>
      <c r="AM69" s="708"/>
    </row>
    <row r="70" spans="1:39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H70" s="708"/>
      <c r="AI70" s="708"/>
      <c r="AJ70" s="708"/>
      <c r="AK70" s="708"/>
      <c r="AL70" s="708"/>
      <c r="AM70" s="708"/>
    </row>
    <row r="71" spans="1:39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H71" s="708"/>
      <c r="AI71" s="708"/>
      <c r="AJ71" s="708"/>
      <c r="AK71" s="708"/>
      <c r="AL71" s="708"/>
      <c r="AM71" s="708"/>
    </row>
    <row r="72" spans="1:39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H72" s="708"/>
      <c r="AI72" s="708"/>
      <c r="AJ72" s="708"/>
      <c r="AK72" s="708"/>
      <c r="AL72" s="708"/>
      <c r="AM72" s="708"/>
    </row>
    <row r="73" spans="1:39" s="483" customFormat="1" ht="16" thickBot="1">
      <c r="A73" s="536">
        <v>191015</v>
      </c>
      <c r="B73" s="485" t="s">
        <v>256</v>
      </c>
      <c r="C73" s="486" t="s">
        <v>251</v>
      </c>
      <c r="D73" s="689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34">U73+1</f>
        <v>201502</v>
      </c>
      <c r="W73" s="484">
        <f t="shared" si="34"/>
        <v>201503</v>
      </c>
      <c r="X73" s="484">
        <f t="shared" si="34"/>
        <v>201504</v>
      </c>
      <c r="Y73" s="484">
        <f t="shared" si="34"/>
        <v>201505</v>
      </c>
      <c r="Z73" s="484">
        <f t="shared" si="34"/>
        <v>201506</v>
      </c>
      <c r="AA73" s="484">
        <f t="shared" si="34"/>
        <v>201507</v>
      </c>
      <c r="AB73" s="484">
        <f t="shared" si="34"/>
        <v>201508</v>
      </c>
      <c r="AC73" s="484">
        <f t="shared" si="34"/>
        <v>201509</v>
      </c>
      <c r="AD73" s="484">
        <f t="shared" si="34"/>
        <v>201510</v>
      </c>
      <c r="AE73" s="484">
        <f t="shared" si="34"/>
        <v>201511</v>
      </c>
      <c r="AF73" s="484">
        <f t="shared" si="34"/>
        <v>201512</v>
      </c>
      <c r="AH73" s="564" t="s">
        <v>330</v>
      </c>
      <c r="AI73" s="525"/>
      <c r="AJ73" s="482"/>
      <c r="AK73" s="482"/>
      <c r="AL73" s="482"/>
      <c r="AM73" s="482"/>
    </row>
    <row r="74" spans="1:39" s="483" customFormat="1" ht="16" thickBot="1">
      <c r="A74" s="484"/>
      <c r="B74" s="485" t="s">
        <v>257</v>
      </c>
      <c r="C74" s="486"/>
      <c r="D74" s="689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H74" s="513">
        <f>AH4</f>
        <v>201509</v>
      </c>
      <c r="AI74" s="526"/>
      <c r="AJ74" s="514"/>
      <c r="AK74" s="514"/>
      <c r="AL74" s="523"/>
      <c r="AM74" s="515"/>
    </row>
    <row r="75" spans="1:39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f>U79</f>
        <v>-11881.722960675279</v>
      </c>
      <c r="W75" s="482">
        <f t="shared" ref="W75:AF75" si="35">V79</f>
        <v>-11901.532960675278</v>
      </c>
      <c r="X75" s="482">
        <f t="shared" si="35"/>
        <v>-11911.450904809175</v>
      </c>
      <c r="Y75" s="482">
        <f t="shared" si="35"/>
        <v>-11921.377113896517</v>
      </c>
      <c r="Z75" s="482">
        <f t="shared" si="35"/>
        <v>-11931.311594824763</v>
      </c>
      <c r="AA75" s="482">
        <f t="shared" si="35"/>
        <v>-11941.254354487117</v>
      </c>
      <c r="AB75" s="482">
        <f t="shared" si="35"/>
        <v>-11951.205399782522</v>
      </c>
      <c r="AC75" s="482">
        <f t="shared" si="35"/>
        <v>-11961.164737615674</v>
      </c>
      <c r="AD75" s="482">
        <f t="shared" si="35"/>
        <v>-11971.132374897021</v>
      </c>
      <c r="AE75" s="482">
        <f t="shared" si="35"/>
        <v>-11981.108318542769</v>
      </c>
      <c r="AF75" s="482">
        <f t="shared" si="35"/>
        <v>-11991.092575474888</v>
      </c>
      <c r="AH75" s="497" t="s">
        <v>308</v>
      </c>
      <c r="AI75" s="527">
        <v>419600</v>
      </c>
      <c r="AJ75" s="498" t="s">
        <v>288</v>
      </c>
      <c r="AK75" s="498" t="s">
        <v>291</v>
      </c>
      <c r="AL75" s="470">
        <f>IF(SUMIF(U72:AF72,AH73,U76:AF76)&lt;0,-SUMIF(U72:AF72,AH73,U76:AF76),0)</f>
        <v>0</v>
      </c>
      <c r="AM75" s="520">
        <f>IF(SUMIF(U73:AF73,AH74,U77:AF77)&gt;0,SUMIF(U73:AF73,AH74,U77:AF77),0)</f>
        <v>0</v>
      </c>
    </row>
    <row r="76" spans="1:39">
      <c r="B76" s="481" t="s">
        <v>23</v>
      </c>
      <c r="C76" s="482">
        <f>SUM(U76:AF76)</f>
        <v>4.9799999978858978E-3</v>
      </c>
      <c r="D76" s="491">
        <f>SUM(F76:Q76)</f>
        <v>1181062.2835600001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36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H76" s="499" t="s">
        <v>309</v>
      </c>
      <c r="AI76" s="528">
        <v>431600</v>
      </c>
      <c r="AJ76" s="358" t="s">
        <v>288</v>
      </c>
      <c r="AK76" s="358" t="s">
        <v>291</v>
      </c>
      <c r="AL76" s="381">
        <f>IF(SUMIF(U73:AF73,AH74,U77:AF77)&lt;0,-SUMIF(U73:AF73,AH74,U77:AF77),0)</f>
        <v>9.9676372813463967</v>
      </c>
      <c r="AM76" s="500">
        <v>0</v>
      </c>
    </row>
    <row r="77" spans="1:39">
      <c r="B77" s="481" t="s">
        <v>4</v>
      </c>
      <c r="C77" s="482">
        <f t="shared" ref="C77:C78" si="37">SUM(U77:AF77)</f>
        <v>-109.46219194583813</v>
      </c>
      <c r="D77" s="491">
        <f>SUM(F77:Q77)</f>
        <v>-8150.2660220448734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f t="shared" ref="W77:AD77" si="38">((W75*(W74/12))+((W76/2)*(W74/12)))</f>
        <v>-9.9179441338960661</v>
      </c>
      <c r="X77" s="489">
        <f t="shared" si="38"/>
        <v>-9.926209087340979</v>
      </c>
      <c r="Y77" s="489">
        <f t="shared" si="38"/>
        <v>-9.9344809282470976</v>
      </c>
      <c r="Z77" s="489">
        <f t="shared" si="38"/>
        <v>-9.9427596623539696</v>
      </c>
      <c r="AA77" s="489">
        <f t="shared" si="38"/>
        <v>-9.9510452954059314</v>
      </c>
      <c r="AB77" s="489">
        <f t="shared" si="38"/>
        <v>-9.9593378331521034</v>
      </c>
      <c r="AC77" s="489">
        <f t="shared" si="38"/>
        <v>-9.9676372813463967</v>
      </c>
      <c r="AD77" s="489">
        <f t="shared" si="38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H77" s="499" t="s">
        <v>312</v>
      </c>
      <c r="AI77" s="528">
        <v>191015</v>
      </c>
      <c r="AJ77" s="358" t="s">
        <v>288</v>
      </c>
      <c r="AK77" s="358" t="s">
        <v>291</v>
      </c>
      <c r="AL77" s="381">
        <f>IF((SUMIF(U73:AF73,AH74,U76:AF76)+SUMIF(U73:AF73,AH74,U77:AF77))&gt;0,(SUMIF(U73:AF73,AH74,U76:AF76)+SUMIF(U73:AF73,AH74,U77:AF77)),0)</f>
        <v>0</v>
      </c>
      <c r="AM77" s="500">
        <f>IF((SUMIF(U73:AF73,AH74,U76:AF76)+SUMIF(U73:AF73,AH74,U77:AF77))&lt;0,-(SUMIF(U73:AF73,AH74,U76:AF76)+SUMIF(U73:AF73,AH74,U77:AF77)),0)</f>
        <v>9.9676372813463967</v>
      </c>
    </row>
    <row r="78" spans="1:39">
      <c r="B78" s="481" t="s">
        <v>148</v>
      </c>
      <c r="C78" s="482">
        <f t="shared" si="37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H78" s="499" t="s">
        <v>313</v>
      </c>
      <c r="AI78" s="528">
        <v>805111</v>
      </c>
      <c r="AJ78" s="358" t="s">
        <v>288</v>
      </c>
      <c r="AK78" s="358" t="s">
        <v>291</v>
      </c>
      <c r="AL78" s="381">
        <f>IF((SUMIF(U73:AF73,AH74,U76:AF76))&lt;0,-(SUMIF(U73:AF73,AH74,U76:AF76)),0)</f>
        <v>0</v>
      </c>
      <c r="AM78" s="500">
        <f>IF((SUMIF(U73:AF73,AH74,U76:AF76))&gt;0,(SUMIF(U73:AF73,AH74,U76:AF76)),0)</f>
        <v>0</v>
      </c>
    </row>
    <row r="79" spans="1:39" ht="16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F79" si="39">SUM(V75:V78)</f>
        <v>-11901.532960675278</v>
      </c>
      <c r="W79" s="541">
        <f t="shared" si="39"/>
        <v>-11911.450904809175</v>
      </c>
      <c r="X79" s="541">
        <f t="shared" si="39"/>
        <v>-11921.377113896517</v>
      </c>
      <c r="Y79" s="541">
        <f t="shared" si="39"/>
        <v>-11931.311594824763</v>
      </c>
      <c r="Z79" s="541">
        <f t="shared" si="39"/>
        <v>-11941.254354487117</v>
      </c>
      <c r="AA79" s="541">
        <f t="shared" si="39"/>
        <v>-11951.205399782522</v>
      </c>
      <c r="AB79" s="541">
        <f t="shared" si="39"/>
        <v>-11961.164737615674</v>
      </c>
      <c r="AC79" s="541">
        <f t="shared" si="39"/>
        <v>-11971.132374897021</v>
      </c>
      <c r="AD79" s="541">
        <f t="shared" si="39"/>
        <v>-11981.108318542769</v>
      </c>
      <c r="AE79" s="541">
        <f t="shared" si="39"/>
        <v>-11991.092575474888</v>
      </c>
      <c r="AF79" s="541">
        <f t="shared" si="39"/>
        <v>-12001.085152621117</v>
      </c>
      <c r="AH79" s="499" t="s">
        <v>332</v>
      </c>
      <c r="AI79" s="528">
        <v>191015</v>
      </c>
      <c r="AJ79" s="358" t="s">
        <v>288</v>
      </c>
      <c r="AK79" s="358" t="s">
        <v>291</v>
      </c>
      <c r="AL79" s="381">
        <v>0</v>
      </c>
      <c r="AM79" s="500">
        <v>0</v>
      </c>
    </row>
    <row r="80" spans="1:39" ht="16.5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 t="e">
        <f ca="1">_xll.Get_Balance(V73,"YTD","USD","Total","A","","001",$A$73,"GD","ID","DL")</f>
        <v>#NAME?</v>
      </c>
      <c r="W80" s="482" t="e">
        <f ca="1">_xll.Get_Balance(W73,"YTD","USD","Total","A","","001",$A$73,"GD","ID","DL")</f>
        <v>#NAME?</v>
      </c>
      <c r="X80" s="482" t="e">
        <f ca="1">_xll.Get_Balance(X73,"YTD","USD","Total","A","","001",$A$73,"GD","ID","DL")</f>
        <v>#NAME?</v>
      </c>
      <c r="Y80" s="482" t="e">
        <f ca="1">_xll.Get_Balance(Y73,"YTD","USD","Total","A","","001",$A$73,"GD","ID","DL")</f>
        <v>#NAME?</v>
      </c>
      <c r="Z80" s="482" t="e">
        <f ca="1">_xll.Get_Balance(Z73,"YTD","USD","Total","A","","001",$A$73,"GD","ID","DL")</f>
        <v>#NAME?</v>
      </c>
      <c r="AA80" s="482" t="e">
        <f ca="1">_xll.Get_Balance(AA73,"YTD","USD","Total","A","","001",$A$73,"GD","ID","DL")</f>
        <v>#NAME?</v>
      </c>
      <c r="AB80" s="482" t="e">
        <f ca="1">_xll.Get_Balance(AB73,"YTD","USD","Total","A","","001",$A$73,"GD","ID","DL")</f>
        <v>#NAME?</v>
      </c>
      <c r="AC80" s="482" t="e">
        <f ca="1">_xll.Get_Balance(AC73,"YTD","USD","Total","A","","001",$A$73,"GD","ID","DL")</f>
        <v>#NAME?</v>
      </c>
      <c r="AD80" s="482" t="e">
        <f ca="1">_xll.Get_Balance(AD73,"YTD","USD","Total","A","","001",$A$73,"GD","ID","DL")</f>
        <v>#NAME?</v>
      </c>
      <c r="AE80" s="482" t="e">
        <f ca="1">_xll.Get_Balance(AE73,"YTD","USD","Total","A","","001",$A$73,"GD","ID","DL")</f>
        <v>#NAME?</v>
      </c>
      <c r="AF80" s="482" t="e">
        <f ca="1">_xll.Get_Balance(AF73,"YTD","USD","Total","A","","001",$A$73,"GD","ID","DL")</f>
        <v>#NAME?</v>
      </c>
      <c r="AH80" s="501" t="s">
        <v>332</v>
      </c>
      <c r="AI80" s="529">
        <v>431600</v>
      </c>
      <c r="AJ80" s="502" t="s">
        <v>288</v>
      </c>
      <c r="AK80" s="502" t="s">
        <v>291</v>
      </c>
      <c r="AL80" s="464">
        <v>0</v>
      </c>
      <c r="AM80" s="521">
        <v>0</v>
      </c>
    </row>
    <row r="81" spans="2:41" ht="16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 t="e">
        <f t="shared" ref="V81:AF81" ca="1" si="40">V79-V80</f>
        <v>#NAME?</v>
      </c>
      <c r="W81" s="482" t="e">
        <f t="shared" ca="1" si="40"/>
        <v>#NAME?</v>
      </c>
      <c r="X81" s="482" t="e">
        <f t="shared" ca="1" si="40"/>
        <v>#NAME?</v>
      </c>
      <c r="Y81" s="482" t="e">
        <f t="shared" ca="1" si="40"/>
        <v>#NAME?</v>
      </c>
      <c r="Z81" s="482" t="e">
        <f t="shared" ca="1" si="40"/>
        <v>#NAME?</v>
      </c>
      <c r="AA81" s="482" t="e">
        <f t="shared" ca="1" si="40"/>
        <v>#NAME?</v>
      </c>
      <c r="AB81" s="482" t="e">
        <f t="shared" ca="1" si="40"/>
        <v>#NAME?</v>
      </c>
      <c r="AC81" s="482" t="e">
        <f t="shared" ca="1" si="40"/>
        <v>#NAME?</v>
      </c>
      <c r="AD81" s="482" t="e">
        <f t="shared" ca="1" si="40"/>
        <v>#NAME?</v>
      </c>
      <c r="AE81" s="482" t="e">
        <f t="shared" ca="1" si="40"/>
        <v>#NAME?</v>
      </c>
      <c r="AF81" s="482" t="e">
        <f t="shared" ca="1" si="40"/>
        <v>#NAME?</v>
      </c>
      <c r="AH81" s="516"/>
      <c r="AI81" s="530"/>
      <c r="AJ81" s="517"/>
      <c r="AK81" s="517"/>
      <c r="AL81" s="517" t="s">
        <v>159</v>
      </c>
      <c r="AM81" s="518">
        <f>SUM(AL75:AL80)-SUM(AM75:AM80)</f>
        <v>0</v>
      </c>
    </row>
    <row r="84" spans="2:41">
      <c r="X84" s="576"/>
      <c r="Y84" s="576"/>
      <c r="Z84" s="576"/>
      <c r="AA84" s="576"/>
      <c r="AB84" s="576"/>
      <c r="AC84" s="576"/>
      <c r="AD84" s="576"/>
      <c r="AE84" s="576"/>
      <c r="AF84" s="576"/>
      <c r="AG84" s="576"/>
      <c r="AH84" s="709"/>
      <c r="AI84" s="710"/>
      <c r="AJ84" s="710"/>
      <c r="AK84" s="710"/>
      <c r="AL84" s="710"/>
      <c r="AM84" s="710"/>
      <c r="AN84" s="576"/>
      <c r="AO84" s="576"/>
    </row>
    <row r="85" spans="2:41">
      <c r="X85" s="576"/>
      <c r="Y85" s="576"/>
      <c r="Z85" s="576"/>
      <c r="AA85" s="576"/>
      <c r="AB85" s="576"/>
      <c r="AC85" s="576"/>
      <c r="AD85" s="576"/>
      <c r="AE85" s="576"/>
      <c r="AF85" s="576"/>
      <c r="AG85" s="576"/>
      <c r="AH85" s="710"/>
      <c r="AI85" s="710"/>
      <c r="AJ85" s="710"/>
      <c r="AK85" s="710"/>
      <c r="AL85" s="710"/>
      <c r="AM85" s="710"/>
      <c r="AN85" s="576"/>
      <c r="AO85" s="576"/>
    </row>
    <row r="86" spans="2:41">
      <c r="X86" s="576"/>
      <c r="Y86" s="576"/>
      <c r="Z86" s="576"/>
      <c r="AA86" s="576"/>
      <c r="AB86" s="576"/>
      <c r="AC86" s="576"/>
      <c r="AD86" s="576"/>
      <c r="AE86" s="576"/>
      <c r="AF86" s="576"/>
      <c r="AG86" s="576"/>
      <c r="AH86" s="710"/>
      <c r="AI86" s="710"/>
      <c r="AJ86" s="710"/>
      <c r="AK86" s="710"/>
      <c r="AL86" s="710"/>
      <c r="AM86" s="710"/>
      <c r="AN86" s="576"/>
      <c r="AO86" s="576"/>
    </row>
    <row r="87" spans="2:41">
      <c r="X87" s="576"/>
      <c r="Y87" s="576"/>
      <c r="Z87" s="576"/>
      <c r="AA87" s="576"/>
      <c r="AB87" s="576"/>
      <c r="AC87" s="576"/>
      <c r="AD87" s="576"/>
      <c r="AE87" s="576"/>
      <c r="AF87" s="576"/>
      <c r="AG87" s="576"/>
      <c r="AH87" s="710"/>
      <c r="AI87" s="710"/>
      <c r="AJ87" s="710"/>
      <c r="AK87" s="710"/>
      <c r="AL87" s="710"/>
      <c r="AM87" s="710"/>
      <c r="AN87" s="576"/>
      <c r="AO87" s="576"/>
    </row>
    <row r="88" spans="2:41">
      <c r="X88" s="576"/>
      <c r="Y88" s="576"/>
      <c r="Z88" s="576"/>
      <c r="AA88" s="576"/>
      <c r="AB88" s="576"/>
      <c r="AC88" s="576"/>
      <c r="AD88" s="576"/>
      <c r="AE88" s="576"/>
      <c r="AF88" s="576"/>
      <c r="AG88" s="576"/>
      <c r="AH88" s="710"/>
      <c r="AI88" s="710"/>
      <c r="AJ88" s="710"/>
      <c r="AK88" s="710"/>
      <c r="AL88" s="710"/>
      <c r="AM88" s="710"/>
      <c r="AN88" s="576"/>
      <c r="AO88" s="576"/>
    </row>
    <row r="89" spans="2:41">
      <c r="X89" s="576"/>
      <c r="Y89" s="576"/>
      <c r="Z89" s="576"/>
      <c r="AA89" s="576"/>
      <c r="AB89" s="576"/>
      <c r="AC89" s="576"/>
      <c r="AD89" s="576"/>
      <c r="AE89" s="576"/>
      <c r="AF89" s="576"/>
      <c r="AG89" s="576"/>
      <c r="AH89" s="710"/>
      <c r="AI89" s="710"/>
      <c r="AJ89" s="710"/>
      <c r="AK89" s="710"/>
      <c r="AL89" s="710"/>
      <c r="AM89" s="710"/>
      <c r="AN89" s="576"/>
      <c r="AO89" s="576"/>
    </row>
    <row r="90" spans="2:41">
      <c r="X90" s="576"/>
      <c r="Y90" s="576"/>
      <c r="Z90" s="576"/>
      <c r="AA90" s="576"/>
      <c r="AB90" s="576"/>
      <c r="AC90" s="576"/>
      <c r="AD90" s="576"/>
      <c r="AE90" s="576"/>
      <c r="AF90" s="576"/>
      <c r="AG90" s="576"/>
      <c r="AH90" s="358"/>
      <c r="AI90" s="528"/>
      <c r="AJ90" s="358"/>
      <c r="AK90" s="358"/>
      <c r="AL90" s="576"/>
      <c r="AM90" s="576"/>
      <c r="AN90" s="576"/>
      <c r="AO90" s="576"/>
    </row>
    <row r="91" spans="2:41">
      <c r="M91" s="482">
        <v>13246436.58</v>
      </c>
      <c r="X91" s="576"/>
      <c r="Y91" s="576"/>
      <c r="Z91" s="576"/>
      <c r="AA91" s="576"/>
      <c r="AB91" s="576"/>
      <c r="AC91" s="576"/>
      <c r="AD91" s="576"/>
      <c r="AE91" s="576"/>
      <c r="AF91" s="576"/>
      <c r="AG91" s="576"/>
      <c r="AH91" s="7"/>
      <c r="AI91" s="209"/>
      <c r="AJ91" s="7"/>
      <c r="AK91" s="7"/>
      <c r="AL91" s="576"/>
      <c r="AM91" s="576"/>
      <c r="AN91" s="576"/>
      <c r="AO91" s="576"/>
    </row>
    <row r="92" spans="2:41">
      <c r="X92" s="576"/>
      <c r="Y92" s="576"/>
      <c r="Z92" s="576"/>
      <c r="AA92" s="576"/>
      <c r="AB92" s="576"/>
      <c r="AC92" s="576"/>
      <c r="AD92" s="576"/>
      <c r="AE92" s="576"/>
      <c r="AF92" s="576"/>
      <c r="AG92" s="576"/>
      <c r="AH92" s="358"/>
      <c r="AI92" s="528"/>
      <c r="AJ92" s="358"/>
      <c r="AK92" s="358"/>
      <c r="AL92" s="576"/>
      <c r="AM92" s="576"/>
      <c r="AN92" s="576"/>
      <c r="AO92" s="576"/>
    </row>
    <row r="93" spans="2:41">
      <c r="X93" s="576"/>
      <c r="Y93" s="576"/>
      <c r="Z93" s="576"/>
      <c r="AA93" s="576"/>
      <c r="AB93" s="576"/>
      <c r="AC93" s="576"/>
      <c r="AD93" s="576"/>
      <c r="AE93" s="576"/>
      <c r="AF93" s="576"/>
      <c r="AG93" s="576"/>
      <c r="AH93" s="576"/>
      <c r="AI93" s="603"/>
      <c r="AJ93" s="576"/>
      <c r="AK93" s="576"/>
      <c r="AL93" s="576"/>
      <c r="AM93" s="576"/>
      <c r="AN93" s="576"/>
      <c r="AO93" s="576"/>
    </row>
  </sheetData>
  <mergeCells count="3">
    <mergeCell ref="AH31:AL36"/>
    <mergeCell ref="AH67:AM72"/>
    <mergeCell ref="AH84:AM89"/>
  </mergeCells>
  <conditionalFormatting sqref="E28">
    <cfRule type="cellIs" dxfId="563" priority="26" operator="notEqual">
      <formula>E27</formula>
    </cfRule>
  </conditionalFormatting>
  <conditionalFormatting sqref="F28">
    <cfRule type="cellIs" dxfId="562" priority="25" operator="notEqual">
      <formula>F27</formula>
    </cfRule>
  </conditionalFormatting>
  <conditionalFormatting sqref="G28">
    <cfRule type="cellIs" dxfId="561" priority="24" operator="notEqual">
      <formula>G27</formula>
    </cfRule>
  </conditionalFormatting>
  <conditionalFormatting sqref="H28">
    <cfRule type="cellIs" dxfId="560" priority="23" operator="notEqual">
      <formula>H27</formula>
    </cfRule>
  </conditionalFormatting>
  <conditionalFormatting sqref="C28">
    <cfRule type="cellIs" dxfId="559" priority="22" operator="notEqual">
      <formula>C27</formula>
    </cfRule>
  </conditionalFormatting>
  <conditionalFormatting sqref="F61">
    <cfRule type="cellIs" dxfId="558" priority="21" operator="notEqual">
      <formula>F60</formula>
    </cfRule>
  </conditionalFormatting>
  <conditionalFormatting sqref="G61">
    <cfRule type="cellIs" dxfId="557" priority="20" operator="notEqual">
      <formula>G60</formula>
    </cfRule>
  </conditionalFormatting>
  <conditionalFormatting sqref="H61">
    <cfRule type="cellIs" dxfId="556" priority="19" operator="notEqual">
      <formula>H60</formula>
    </cfRule>
  </conditionalFormatting>
  <conditionalFormatting sqref="C61">
    <cfRule type="cellIs" dxfId="555" priority="18" operator="notEqual">
      <formula>C60</formula>
    </cfRule>
  </conditionalFormatting>
  <conditionalFormatting sqref="I61">
    <cfRule type="cellIs" dxfId="554" priority="17" operator="notEqual">
      <formula>I60</formula>
    </cfRule>
  </conditionalFormatting>
  <conditionalFormatting sqref="AM81 AM48 AM11">
    <cfRule type="cellIs" dxfId="553" priority="16" operator="notEqual">
      <formula>0</formula>
    </cfRule>
  </conditionalFormatting>
  <conditionalFormatting sqref="I28">
    <cfRule type="cellIs" dxfId="552" priority="15" operator="notEqual">
      <formula>I27</formula>
    </cfRule>
  </conditionalFormatting>
  <conditionalFormatting sqref="J28">
    <cfRule type="cellIs" dxfId="551" priority="14" operator="notEqual">
      <formula>J27</formula>
    </cfRule>
  </conditionalFormatting>
  <conditionalFormatting sqref="J61">
    <cfRule type="cellIs" dxfId="550" priority="13" operator="notEqual">
      <formula>J60</formula>
    </cfRule>
  </conditionalFormatting>
  <conditionalFormatting sqref="K28">
    <cfRule type="cellIs" dxfId="549" priority="12" operator="notEqual">
      <formula>K27</formula>
    </cfRule>
  </conditionalFormatting>
  <conditionalFormatting sqref="K61">
    <cfRule type="cellIs" dxfId="548" priority="11" operator="notEqual">
      <formula>K60</formula>
    </cfRule>
  </conditionalFormatting>
  <conditionalFormatting sqref="L28:M28">
    <cfRule type="cellIs" dxfId="547" priority="10" operator="notEqual">
      <formula>L27</formula>
    </cfRule>
  </conditionalFormatting>
  <conditionalFormatting sqref="N28">
    <cfRule type="cellIs" dxfId="546" priority="9" operator="notEqual">
      <formula>N27</formula>
    </cfRule>
  </conditionalFormatting>
  <conditionalFormatting sqref="U61">
    <cfRule type="cellIs" dxfId="545" priority="8" operator="notEqual">
      <formula>U60</formula>
    </cfRule>
  </conditionalFormatting>
  <conditionalFormatting sqref="U28:V28">
    <cfRule type="cellIs" dxfId="544" priority="7" operator="notEqual">
      <formula>U27</formula>
    </cfRule>
  </conditionalFormatting>
  <conditionalFormatting sqref="V28">
    <cfRule type="cellIs" dxfId="543" priority="6" operator="notEqual">
      <formula>V27</formula>
    </cfRule>
  </conditionalFormatting>
  <conditionalFormatting sqref="V61">
    <cfRule type="cellIs" dxfId="542" priority="5" operator="notEqual">
      <formula>V60</formula>
    </cfRule>
  </conditionalFormatting>
  <conditionalFormatting sqref="W28">
    <cfRule type="cellIs" dxfId="541" priority="4" operator="notEqual">
      <formula>W27</formula>
    </cfRule>
  </conditionalFormatting>
  <conditionalFormatting sqref="W61">
    <cfRule type="cellIs" dxfId="540" priority="3" operator="notEqual">
      <formula>W60</formula>
    </cfRule>
  </conditionalFormatting>
  <conditionalFormatting sqref="X28:Y28">
    <cfRule type="cellIs" dxfId="539" priority="2" operator="notEqual">
      <formula>X27</formula>
    </cfRule>
  </conditionalFormatting>
  <conditionalFormatting sqref="Z28">
    <cfRule type="cellIs" dxfId="538" priority="1" operator="notEqual">
      <formula>Z27</formula>
    </cfRule>
  </conditionalFormatting>
  <pageMargins left="0" right="0" top="0.75" bottom="0.75" header="0.3" footer="0.3"/>
  <pageSetup scale="39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AM80"/>
  <sheetViews>
    <sheetView topLeftCell="S22" zoomScale="85" zoomScaleNormal="85" zoomScaleSheetLayoutView="85" workbookViewId="0">
      <selection activeCell="Z68" sqref="Z68"/>
    </sheetView>
  </sheetViews>
  <sheetFormatPr defaultColWidth="9.09765625" defaultRowHeight="15.5"/>
  <cols>
    <col min="1" max="1" width="17.296875" style="482" customWidth="1"/>
    <col min="2" max="2" width="18.69921875" style="481" bestFit="1" customWidth="1"/>
    <col min="3" max="3" width="16.09765625" style="482" customWidth="1"/>
    <col min="4" max="4" width="16.296875" style="482" customWidth="1"/>
    <col min="5" max="5" width="15.59765625" style="482" hidden="1" customWidth="1"/>
    <col min="6" max="6" width="18.296875" style="482" hidden="1" customWidth="1"/>
    <col min="7" max="7" width="16.296875" style="482" hidden="1" customWidth="1"/>
    <col min="8" max="9" width="19.8984375" style="482" hidden="1" customWidth="1"/>
    <col min="10" max="10" width="16.296875" style="482" hidden="1" customWidth="1"/>
    <col min="11" max="11" width="21.59765625" style="482" hidden="1" customWidth="1"/>
    <col min="12" max="18" width="16.296875" style="482" hidden="1" customWidth="1"/>
    <col min="19" max="20" width="16.296875" style="482" customWidth="1"/>
    <col min="21" max="21" width="19.8984375" style="482" customWidth="1"/>
    <col min="22" max="22" width="16.296875" style="482" customWidth="1"/>
    <col min="23" max="23" width="21.59765625" style="482" customWidth="1"/>
    <col min="24" max="28" width="16.296875" style="482" customWidth="1"/>
    <col min="29" max="32" width="16.296875" style="482" hidden="1" customWidth="1"/>
    <col min="33" max="33" width="11.69921875" style="482" customWidth="1"/>
    <col min="34" max="34" width="37.8984375" style="482" bestFit="1" customWidth="1"/>
    <col min="35" max="35" width="14.3984375" style="525" bestFit="1" customWidth="1"/>
    <col min="36" max="36" width="4.69921875" style="482" bestFit="1" customWidth="1"/>
    <col min="37" max="37" width="5" style="482" bestFit="1" customWidth="1"/>
    <col min="38" max="38" width="18.296875" style="482" customWidth="1"/>
    <col min="39" max="39" width="17.09765625" style="482" bestFit="1" customWidth="1"/>
    <col min="40" max="40" width="0.3984375" style="482" customWidth="1"/>
    <col min="41" max="16384" width="9.09765625" style="482"/>
  </cols>
  <sheetData>
    <row r="1" spans="1:39">
      <c r="A1" s="480" t="s">
        <v>265</v>
      </c>
      <c r="AH1" s="480" t="s">
        <v>315</v>
      </c>
    </row>
    <row r="2" spans="1:39">
      <c r="A2" s="483" t="s">
        <v>266</v>
      </c>
    </row>
    <row r="3" spans="1:39" s="483" customFormat="1" ht="31.5" thickBot="1">
      <c r="A3" s="484">
        <v>191010</v>
      </c>
      <c r="B3" s="485" t="s">
        <v>256</v>
      </c>
      <c r="C3" s="486" t="s">
        <v>251</v>
      </c>
      <c r="D3" s="688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 t="shared" ref="AF3" si="1">AE3+1</f>
        <v>201512</v>
      </c>
      <c r="AI3" s="484"/>
    </row>
    <row r="4" spans="1:39" s="483" customFormat="1" ht="16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H4" s="544">
        <v>201508</v>
      </c>
      <c r="AI4" s="526"/>
      <c r="AJ4" s="514"/>
      <c r="AK4" s="514"/>
      <c r="AL4" s="514"/>
      <c r="AM4" s="515"/>
    </row>
    <row r="5" spans="1:39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-1154882.2995837759</v>
      </c>
      <c r="W5" s="482">
        <f t="shared" ref="W5:AD5" si="2">V13</f>
        <v>-1883329.5456927749</v>
      </c>
      <c r="X5" s="482">
        <f t="shared" si="2"/>
        <v>-872806.43822777225</v>
      </c>
      <c r="Y5" s="482">
        <f t="shared" si="2"/>
        <v>-2959310.535139773</v>
      </c>
      <c r="Z5" s="482">
        <f t="shared" si="2"/>
        <v>-3131335.1133777718</v>
      </c>
      <c r="AA5" s="482">
        <f t="shared" si="2"/>
        <v>-3303665.3888877728</v>
      </c>
      <c r="AB5" s="482">
        <f t="shared" si="2"/>
        <v>-3655951.1713057715</v>
      </c>
      <c r="AC5" s="482">
        <f t="shared" si="2"/>
        <v>-3747278.07094577</v>
      </c>
      <c r="AD5" s="482">
        <f t="shared" si="2"/>
        <v>-4948357.8050077725</v>
      </c>
      <c r="AE5" s="482">
        <f>AD13</f>
        <v>-6093381.4883727729</v>
      </c>
      <c r="AF5" s="482">
        <f t="shared" ref="AF5" si="3">AE13</f>
        <v>-7722519.1945627714</v>
      </c>
      <c r="AH5" s="497" t="s">
        <v>294</v>
      </c>
      <c r="AI5" s="527">
        <v>419600</v>
      </c>
      <c r="AJ5" s="498" t="s">
        <v>288</v>
      </c>
      <c r="AK5" s="498" t="s">
        <v>289</v>
      </c>
      <c r="AL5" s="519">
        <v>0</v>
      </c>
      <c r="AM5" s="520">
        <f>IF(SUMIF(U3:AF3,AH4,U8:AF8)&gt;0,SUMIF(U3:AF3,AH4,U8:AF8),0)</f>
        <v>0</v>
      </c>
    </row>
    <row r="6" spans="1:39">
      <c r="B6" s="481" t="s">
        <v>254</v>
      </c>
      <c r="C6" s="482">
        <f>SUM(U6:AF6)</f>
        <v>-10042423.246235993</v>
      </c>
      <c r="D6" s="482">
        <f>-2523837.34+SUM(E6:N6,E9:T9)</f>
        <v>4.5212078839540482E-3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f>Feb!$H$53</f>
        <v>0</v>
      </c>
      <c r="W6" s="482">
        <f>Mar!$H$53</f>
        <v>1135107.4385570027</v>
      </c>
      <c r="X6" s="482">
        <f>Apr!$H$53</f>
        <v>-2310603.7085020011</v>
      </c>
      <c r="Y6" s="482">
        <f>May!$H$53</f>
        <v>-1026688.9535339989</v>
      </c>
      <c r="Z6" s="482">
        <f>Jun!$H$53</f>
        <v>-1511176.335440001</v>
      </c>
      <c r="AA6" s="482">
        <f>Jul!$H$53</f>
        <v>-1483614.197077998</v>
      </c>
      <c r="AB6" s="482">
        <f>Aug!$H$53</f>
        <v>-1288286.6270379988</v>
      </c>
      <c r="AC6" s="482">
        <f>Sep!$H$53</f>
        <v>-2088616.5970920017</v>
      </c>
      <c r="AD6" s="482">
        <f>Oct!$H$55</f>
        <v>-1862270.5500129997</v>
      </c>
      <c r="AE6" s="482">
        <f>Nov!$H$55</f>
        <v>-294955.25549999811</v>
      </c>
      <c r="AF6" s="482">
        <f>Dec!$H$53</f>
        <v>0</v>
      </c>
      <c r="AH6" s="499" t="s">
        <v>295</v>
      </c>
      <c r="AI6" s="528">
        <v>431600</v>
      </c>
      <c r="AJ6" s="358" t="s">
        <v>288</v>
      </c>
      <c r="AK6" s="358" t="s">
        <v>289</v>
      </c>
      <c r="AL6" s="381">
        <f>IF(SUMIF(U3:AF3,AH4,U8:AF8)&lt;0,-SUMIF(U3:AF3,AH4,U8:AF8),0)</f>
        <v>10011.65</v>
      </c>
      <c r="AM6" s="500">
        <v>0</v>
      </c>
    </row>
    <row r="7" spans="1:39">
      <c r="B7" s="481" t="s">
        <v>255</v>
      </c>
      <c r="C7" s="482">
        <f t="shared" ref="C7:C12" si="4">SUM(U7:AF7)</f>
        <v>2652361.2041769996</v>
      </c>
      <c r="D7" s="482">
        <f>5059705.37+SUM(E7:N7,E10:T10)</f>
        <v>-2.4999678134918213E-4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f>Feb!$I$53</f>
        <v>-724338.56610899908</v>
      </c>
      <c r="W7" s="482">
        <f>Mar!$I$53</f>
        <v>-120857.11109200004</v>
      </c>
      <c r="X7" s="482">
        <f>Apr!$I$53</f>
        <v>229663.83159000031</v>
      </c>
      <c r="Y7" s="482">
        <f>May!$I$53</f>
        <v>862900.97529599979</v>
      </c>
      <c r="Z7" s="482">
        <f>Jun!$I$53</f>
        <v>1347548.3399299998</v>
      </c>
      <c r="AA7" s="482">
        <f>Jul!$I$53</f>
        <v>1140740.15466</v>
      </c>
      <c r="AB7" s="482">
        <f>Aug!$I$53</f>
        <v>1206971.3773980001</v>
      </c>
      <c r="AC7" s="482">
        <f>Sep!$I$53</f>
        <v>899296.28302999982</v>
      </c>
      <c r="AD7" s="482">
        <f>Oct!$I$55</f>
        <v>732178.99664799974</v>
      </c>
      <c r="AE7" s="563">
        <f>Nov!$I$55</f>
        <v>-1315498.7206899999</v>
      </c>
      <c r="AF7" s="482">
        <f>Dec!$I$53</f>
        <v>0</v>
      </c>
      <c r="AH7" s="499" t="s">
        <v>296</v>
      </c>
      <c r="AI7" s="528">
        <v>191010</v>
      </c>
      <c r="AJ7" s="358" t="s">
        <v>288</v>
      </c>
      <c r="AK7" s="358" t="s">
        <v>289</v>
      </c>
      <c r="AL7" s="381">
        <f>IF((SUMIF(U3:AF3,AH4,U6:AF6)+SUMIF(U3:AF3,AH4,U7:AF7)+SUMIF(U3:AF3,AH4,U8:AF8))&gt;0,(SUMIF(U3:AF3,AH4,U6:AF6)+SUMIF(U3:AF3,AH4,U7:AF7)+SUMIF(U3:AF3,AH4,U8:AF8)),0)</f>
        <v>0</v>
      </c>
      <c r="AM7" s="500">
        <f>IF((SUMIF(U3:AF3,AH4,U6:AF6)+SUMIF(U3:AF3,AH4,U7:AF7)+SUMIF(U3:AF3,AH4,U8:AF8))&lt;0,-(SUMIF(U3:AF3,AH4,U6:AF6)+SUMIF(U3:AF3,AH4,U7:AF7)++SUMIF(U3:AF3,AH4,U8:AF8)),0)</f>
        <v>91326.89963999865</v>
      </c>
    </row>
    <row r="8" spans="1:39">
      <c r="B8" s="481" t="s">
        <v>258</v>
      </c>
      <c r="C8" s="482">
        <f t="shared" si="4"/>
        <v>-117362.70999999999</v>
      </c>
      <c r="D8" s="482">
        <f>-38846.64+SUM(E8:N8,E11:T11)</f>
        <v>5.9999999990395736E-2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5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f>ROUND(((V5)*(V4/12))+((SUM(V6:V7)/2)*(V4/12)),2)</f>
        <v>-4108.68</v>
      </c>
      <c r="W8" s="489">
        <f t="shared" ref="W8:AC8" si="6">ROUND(((W5)*(W4/12))+((SUM(W6:W7)/2)*(W4/12)),2)</f>
        <v>-3727.22</v>
      </c>
      <c r="X8" s="489">
        <f>ROUND(((X5+X12)*(X4/12))+((SUM(X6:X7)/2)*(X4/12)),2)</f>
        <v>-5182.82</v>
      </c>
      <c r="Y8" s="489">
        <f t="shared" si="6"/>
        <v>-8236.6</v>
      </c>
      <c r="Z8" s="489">
        <f t="shared" si="6"/>
        <v>-8702.2800000000007</v>
      </c>
      <c r="AA8" s="489">
        <f t="shared" si="6"/>
        <v>-9411.74</v>
      </c>
      <c r="AB8" s="489">
        <f t="shared" si="6"/>
        <v>-10011.65</v>
      </c>
      <c r="AC8" s="489">
        <f t="shared" si="6"/>
        <v>-11759.42</v>
      </c>
      <c r="AD8" s="489">
        <f>ROUND(((AD5)*(AD4/12))+((SUM(AD6:AD7)/2)*(AD4/12)),2)</f>
        <v>-14932.13</v>
      </c>
      <c r="AE8" s="560">
        <f>ROUND(((AE5+AE9+AE10+AE11)*(AE4/12))+((SUM(AE6:AE7)/2)*(AE4/12)),2)</f>
        <v>-18683.73</v>
      </c>
      <c r="AF8" s="489">
        <f>ROUND(((AF5)*(AF4/12))+((SUM(AF6:AF7)/2)*(AF4/12)),2)</f>
        <v>-20915.16</v>
      </c>
      <c r="AH8" s="499" t="s">
        <v>297</v>
      </c>
      <c r="AI8" s="528">
        <v>805120</v>
      </c>
      <c r="AJ8" s="358" t="s">
        <v>288</v>
      </c>
      <c r="AK8" s="358" t="s">
        <v>289</v>
      </c>
      <c r="AL8" s="381">
        <f>IF((SUMIF(U3:AF3,AH4,U6:AF6)+SUMIF(U3:AF3,AH4,U7:AF7))&lt;0,-(SUMIF(U3:AF3,AH4,U6:AF6)+SUMIF(U3:AF3,AH4,U7:AF7)),0)</f>
        <v>81315.249639998656</v>
      </c>
      <c r="AM8" s="500">
        <f>IF((SUMIF(U3:AF3,AH4,U6:AF6)+SUMIF(U3:AF3,AH4,U7:AF7))&gt;0,(SUMIF(U3:AF3,AH4,U6:AF6)+SUMIF(U3:AF3,AH4,U7:AF7)),0)</f>
        <v>0</v>
      </c>
    </row>
    <row r="9" spans="1:39">
      <c r="B9" s="481" t="s">
        <v>262</v>
      </c>
      <c r="C9" s="482">
        <f t="shared" si="4"/>
        <v>-69937.37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63">
        <v>0</v>
      </c>
      <c r="AF9" s="482">
        <v>0</v>
      </c>
      <c r="AH9" s="499" t="s">
        <v>11</v>
      </c>
      <c r="AI9" s="528">
        <v>191010</v>
      </c>
      <c r="AJ9" s="358" t="s">
        <v>288</v>
      </c>
      <c r="AK9" s="358" t="s">
        <v>289</v>
      </c>
      <c r="AL9" s="381">
        <v>0</v>
      </c>
      <c r="AM9" s="500">
        <v>0</v>
      </c>
    </row>
    <row r="10" spans="1:39" ht="16" thickBot="1">
      <c r="B10" s="481" t="s">
        <v>263</v>
      </c>
      <c r="C10" s="482">
        <f t="shared" si="4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63">
        <v>0</v>
      </c>
      <c r="AF10" s="482">
        <v>0</v>
      </c>
      <c r="AH10" s="501" t="str">
        <f>AH9</f>
        <v>Tracker Transfer</v>
      </c>
      <c r="AI10" s="529">
        <f>AI41</f>
        <v>191000</v>
      </c>
      <c r="AJ10" s="529" t="str">
        <f>AJ41</f>
        <v>GD</v>
      </c>
      <c r="AK10" s="529" t="str">
        <f>AK41</f>
        <v>WA</v>
      </c>
      <c r="AL10" s="503">
        <v>0</v>
      </c>
      <c r="AM10" s="521">
        <f>AL9</f>
        <v>0</v>
      </c>
    </row>
    <row r="11" spans="1:39" ht="16" thickBot="1">
      <c r="B11" s="481" t="s">
        <v>264</v>
      </c>
      <c r="C11" s="482">
        <f t="shared" si="4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63">
        <v>0</v>
      </c>
      <c r="AF11" s="482">
        <v>0</v>
      </c>
      <c r="AH11" s="516"/>
      <c r="AI11" s="530"/>
      <c r="AJ11" s="517"/>
      <c r="AK11" s="517"/>
      <c r="AL11" s="517" t="s">
        <v>159</v>
      </c>
      <c r="AM11" s="518">
        <f>SUM(AL5:AL10)-SUM(AM5:AM10)</f>
        <v>0</v>
      </c>
    </row>
    <row r="12" spans="1:39">
      <c r="B12" s="481" t="s">
        <v>148</v>
      </c>
      <c r="C12" s="482">
        <f t="shared" si="4"/>
        <v>-381.4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</row>
    <row r="13" spans="1:39" ht="16" thickBot="1">
      <c r="B13" s="481" t="s">
        <v>56</v>
      </c>
      <c r="C13" s="541">
        <f>SUM(C5:C12)</f>
        <v>-7577743.5220589936</v>
      </c>
      <c r="D13" s="541"/>
      <c r="E13" s="541">
        <f>SUM(E5:E12)</f>
        <v>2712780.2600000002</v>
      </c>
      <c r="F13" s="541">
        <f t="shared" ref="F13:H13" si="7">SUM(F5:F12)</f>
        <v>2255013.9900000002</v>
      </c>
      <c r="G13" s="541">
        <f>SUM(G5:G12)</f>
        <v>-33498.738666789999</v>
      </c>
      <c r="H13" s="541">
        <f t="shared" si="7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8">SUM(V5:V12)</f>
        <v>-1883329.5456927749</v>
      </c>
      <c r="W13" s="541">
        <f t="shared" si="8"/>
        <v>-872806.43822777225</v>
      </c>
      <c r="X13" s="541">
        <f t="shared" si="8"/>
        <v>-2959310.535139773</v>
      </c>
      <c r="Y13" s="541">
        <f>SUM(Y5:Y12)</f>
        <v>-3131335.1133777718</v>
      </c>
      <c r="Z13" s="541">
        <f t="shared" ref="Z13:AF13" si="9">SUM(Z5:Z12)</f>
        <v>-3303665.3888877728</v>
      </c>
      <c r="AA13" s="541">
        <f t="shared" si="9"/>
        <v>-3655951.1713057715</v>
      </c>
      <c r="AB13" s="541">
        <f t="shared" si="9"/>
        <v>-3747278.07094577</v>
      </c>
      <c r="AC13" s="541">
        <f t="shared" si="9"/>
        <v>-4948357.8050077725</v>
      </c>
      <c r="AD13" s="541">
        <f t="shared" si="9"/>
        <v>-6093381.4883727729</v>
      </c>
      <c r="AE13" s="541">
        <f t="shared" si="9"/>
        <v>-7722519.1945627714</v>
      </c>
      <c r="AF13" s="541">
        <f t="shared" si="9"/>
        <v>-7743434.3545627715</v>
      </c>
    </row>
    <row r="14" spans="1:39" ht="16" thickTop="1">
      <c r="B14" s="481" t="s">
        <v>260</v>
      </c>
      <c r="E14" s="482" t="e">
        <f ca="1">_xll.Get_Balance(E3,"YTD","USD","Total","A","","001",$A$3,"GD","WA","DL")</f>
        <v>#NAME?</v>
      </c>
      <c r="F14" s="482" t="e">
        <f ca="1">_xll.Get_Balance(F3,"YTD","USD","Total","A","","001",$A$3,"GD","WA","DL")</f>
        <v>#NAME?</v>
      </c>
      <c r="G14" s="482" t="e">
        <f ca="1">_xll.Get_Balance(G3,"YTD","USD","Total","A","","001",$A$3,"GD","WA","DL")</f>
        <v>#NAME?</v>
      </c>
      <c r="H14" s="482" t="e">
        <f ca="1">_xll.Get_Balance(H3,"YTD","USD","Total","A","","001",$A$3,"GD","WA","DL")</f>
        <v>#NAME?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 t="e">
        <f ca="1">_xll.Get_Balance(V3,"YTD","USD","Total","A","","001",$A$3,"GD","WA","DL")</f>
        <v>#NAME?</v>
      </c>
      <c r="W14" s="482" t="e">
        <f ca="1">_xll.Get_Balance(W3,"YTD","USD","Total","A","","001",$A$3,"GD","WA","DL")</f>
        <v>#NAME?</v>
      </c>
      <c r="X14" s="482" t="e">
        <f ca="1">_xll.Get_Balance(X3,"YTD","USD","Total","A","","001",$A$3,"GD","WA","DL")</f>
        <v>#NAME?</v>
      </c>
      <c r="Y14" s="482" t="e">
        <f ca="1">_xll.Get_Balance(Y3,"YTD","USD","Total","A","","001",$A$3,"GD","WA","DL")</f>
        <v>#NAME?</v>
      </c>
      <c r="Z14" s="482" t="e">
        <f ca="1">_xll.Get_Balance(Z3,"YTD","USD","Total","A","","001",$A$3,"GD","WA","DL")</f>
        <v>#NAME?</v>
      </c>
      <c r="AA14" s="482" t="e">
        <f ca="1">_xll.Get_Balance(AA3,"YTD","USD","Total","A","","001",$A$3,"GD","WA","DL")</f>
        <v>#NAME?</v>
      </c>
      <c r="AB14" s="482" t="e">
        <f ca="1">_xll.Get_Balance(AB3,"YTD","USD","Total","A","","001",$A$3,"GD","WA","DL")</f>
        <v>#NAME?</v>
      </c>
      <c r="AC14" s="482" t="e">
        <f ca="1">_xll.Get_Balance(AC3,"YTD","USD","Total","A","","001",$A$3,"GD","WA","DL")</f>
        <v>#NAME?</v>
      </c>
      <c r="AD14" s="482" t="e">
        <f ca="1">_xll.Get_Balance(AD3,"YTD","USD","Total","A","","001",$A$3,"GD","WA","DL")</f>
        <v>#NAME?</v>
      </c>
      <c r="AE14" s="482" t="e">
        <f ca="1">_xll.Get_Balance(AE3,"YTD","USD","Total","A","","001",$A$3,"GD","WA","DL")</f>
        <v>#NAME?</v>
      </c>
      <c r="AF14" s="482" t="e">
        <f ca="1">_xll.Get_Balance(AF3,"YTD","USD","Total","A","","001",$A$3,"GD","WA","DL")</f>
        <v>#NAME?</v>
      </c>
    </row>
    <row r="15" spans="1:39">
      <c r="B15" s="481" t="s">
        <v>245</v>
      </c>
      <c r="E15" s="482" t="e">
        <f t="shared" ref="E15:H15" ca="1" si="10">E13-E14</f>
        <v>#NAME?</v>
      </c>
      <c r="F15" s="482" t="e">
        <f t="shared" ca="1" si="10"/>
        <v>#NAME?</v>
      </c>
      <c r="G15" s="482" t="e">
        <f t="shared" ca="1" si="10"/>
        <v>#NAME?</v>
      </c>
      <c r="H15" s="482" t="e">
        <f t="shared" ca="1" si="10"/>
        <v>#NAME?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 t="e">
        <f t="shared" ref="V15:AF15" ca="1" si="11">V13-V14</f>
        <v>#NAME?</v>
      </c>
      <c r="W15" s="482" t="e">
        <f t="shared" ca="1" si="11"/>
        <v>#NAME?</v>
      </c>
      <c r="X15" s="482" t="e">
        <f t="shared" ca="1" si="11"/>
        <v>#NAME?</v>
      </c>
      <c r="Y15" s="482" t="e">
        <f t="shared" ca="1" si="11"/>
        <v>#NAME?</v>
      </c>
      <c r="Z15" s="482" t="e">
        <f t="shared" ca="1" si="11"/>
        <v>#NAME?</v>
      </c>
      <c r="AA15" s="482" t="e">
        <f t="shared" ca="1" si="11"/>
        <v>#NAME?</v>
      </c>
      <c r="AB15" s="482" t="e">
        <f t="shared" ca="1" si="11"/>
        <v>#NAME?</v>
      </c>
      <c r="AC15" s="482" t="e">
        <f t="shared" ca="1" si="11"/>
        <v>#NAME?</v>
      </c>
      <c r="AD15" s="482" t="e">
        <f t="shared" ca="1" si="11"/>
        <v>#NAME?</v>
      </c>
      <c r="AE15" s="482" t="e">
        <f t="shared" ca="1" si="11"/>
        <v>#NAME?</v>
      </c>
      <c r="AF15" s="482" t="e">
        <f t="shared" ca="1" si="11"/>
        <v>#NAME?</v>
      </c>
    </row>
    <row r="16" spans="1:39">
      <c r="A16" s="483" t="s">
        <v>268</v>
      </c>
    </row>
    <row r="17" spans="1:33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</row>
    <row r="18" spans="1:33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</row>
    <row r="19" spans="1:33">
      <c r="A19" s="483"/>
      <c r="B19" s="481" t="s">
        <v>37</v>
      </c>
      <c r="C19" s="491">
        <f>SUM(U19:AF19)</f>
        <v>83964548</v>
      </c>
      <c r="D19" s="491">
        <f t="shared" ref="D19:D28" si="14">SUM(G19:R19)</f>
        <v>118507804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f>Feb!$G23</f>
        <v>13011547</v>
      </c>
      <c r="W19" s="543">
        <f>Mar!$G23</f>
        <v>10479005</v>
      </c>
      <c r="X19" s="543">
        <f>Apr!$G23</f>
        <v>7714478</v>
      </c>
      <c r="Y19" s="543">
        <f>May!$G23</f>
        <v>3297360</v>
      </c>
      <c r="Z19" s="543">
        <f>Jun!$G23</f>
        <v>1968489</v>
      </c>
      <c r="AA19" s="543">
        <f>Jul!$G23</f>
        <v>2145139</v>
      </c>
      <c r="AB19" s="543">
        <f>Aug!$G23</f>
        <v>1956853</v>
      </c>
      <c r="AC19" s="543">
        <f>Sep!$G23</f>
        <v>3273457</v>
      </c>
      <c r="AD19" s="543">
        <f>Oct!$G23</f>
        <v>4833518</v>
      </c>
      <c r="AE19" s="543">
        <f>Nov!$G23</f>
        <v>15375028</v>
      </c>
      <c r="AF19" s="543">
        <f>Dec!$G23</f>
        <v>0</v>
      </c>
    </row>
    <row r="20" spans="1:33">
      <c r="A20" s="483"/>
      <c r="B20" s="481" t="s">
        <v>38</v>
      </c>
      <c r="C20" s="491">
        <f t="shared" ref="C20:C27" si="15">SUM(U20:AF20)</f>
        <v>35336899</v>
      </c>
      <c r="D20" s="491">
        <f t="shared" si="14"/>
        <v>47081391</v>
      </c>
      <c r="E20" s="491">
        <v>1599551</v>
      </c>
      <c r="F20" s="491">
        <v>3880001</v>
      </c>
      <c r="G20" s="491">
        <v>5651303</v>
      </c>
      <c r="H20" s="491">
        <v>7518125</v>
      </c>
      <c r="I20" s="543">
        <v>7025543</v>
      </c>
      <c r="J20" s="543">
        <v>6903553</v>
      </c>
      <c r="K20" s="543">
        <v>5310734</v>
      </c>
      <c r="L20" s="543">
        <v>3390429</v>
      </c>
      <c r="M20" s="543">
        <v>2183609</v>
      </c>
      <c r="N20" s="543">
        <v>1741655</v>
      </c>
      <c r="O20" s="543">
        <v>1476567</v>
      </c>
      <c r="P20" s="543">
        <v>1364087</v>
      </c>
      <c r="Q20" s="543">
        <v>1739755</v>
      </c>
      <c r="R20" s="543">
        <v>2776031</v>
      </c>
      <c r="S20" s="543">
        <v>6141604</v>
      </c>
      <c r="T20" s="543">
        <v>6045485</v>
      </c>
      <c r="U20" s="543">
        <v>6173752</v>
      </c>
      <c r="V20" s="543">
        <f>Feb!$G24</f>
        <v>5630395</v>
      </c>
      <c r="W20" s="543">
        <f>Mar!$G24</f>
        <v>4030672</v>
      </c>
      <c r="X20" s="543">
        <f>Apr!$G24</f>
        <v>3448422</v>
      </c>
      <c r="Y20" s="543">
        <f>May!$G24</f>
        <v>1901440</v>
      </c>
      <c r="Z20" s="543">
        <f>Jun!$G24</f>
        <v>1561904</v>
      </c>
      <c r="AA20" s="543">
        <f>Jul!$G24</f>
        <v>1323231</v>
      </c>
      <c r="AB20" s="543">
        <f>Aug!$G24</f>
        <v>1284422</v>
      </c>
      <c r="AC20" s="543">
        <f>Sep!$G24</f>
        <v>1854848</v>
      </c>
      <c r="AD20" s="543">
        <f>Oct!$G25</f>
        <v>2624293</v>
      </c>
      <c r="AE20" s="543">
        <f>Nov!$G25</f>
        <v>5503520</v>
      </c>
      <c r="AF20" s="543">
        <f>Dec!$G24</f>
        <v>0</v>
      </c>
    </row>
    <row r="21" spans="1:33" hidden="1">
      <c r="A21" s="483"/>
      <c r="B21" s="481" t="s">
        <v>39</v>
      </c>
      <c r="C21" s="491">
        <f t="shared" si="15"/>
        <v>0</v>
      </c>
      <c r="D21" s="491">
        <f t="shared" si="14"/>
        <v>0</v>
      </c>
      <c r="E21" s="491">
        <v>0</v>
      </c>
      <c r="F21" s="491">
        <v>0</v>
      </c>
      <c r="G21" s="491">
        <v>0</v>
      </c>
      <c r="H21" s="491">
        <v>0</v>
      </c>
      <c r="I21" s="543"/>
      <c r="J21" s="543"/>
      <c r="K21" s="543"/>
      <c r="L21" s="543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3"/>
      <c r="AF21" s="543"/>
    </row>
    <row r="22" spans="1:33">
      <c r="A22" s="483"/>
      <c r="B22" s="481" t="s">
        <v>40</v>
      </c>
      <c r="C22" s="491">
        <f t="shared" si="15"/>
        <v>4051936</v>
      </c>
      <c r="D22" s="491">
        <f t="shared" si="14"/>
        <v>4993299</v>
      </c>
      <c r="E22" s="491">
        <v>344046</v>
      </c>
      <c r="F22" s="491">
        <v>595792</v>
      </c>
      <c r="G22" s="491">
        <v>396185</v>
      </c>
      <c r="H22" s="491">
        <v>588721</v>
      </c>
      <c r="I22" s="543">
        <v>534459</v>
      </c>
      <c r="J22" s="543">
        <v>540817</v>
      </c>
      <c r="K22" s="543">
        <v>425342</v>
      </c>
      <c r="L22" s="543">
        <v>407197</v>
      </c>
      <c r="M22" s="543">
        <v>340947</v>
      </c>
      <c r="N22" s="543">
        <v>361843</v>
      </c>
      <c r="O22" s="543">
        <v>251184</v>
      </c>
      <c r="P22" s="543">
        <v>332621</v>
      </c>
      <c r="Q22" s="543">
        <v>330926</v>
      </c>
      <c r="R22" s="543">
        <v>483057</v>
      </c>
      <c r="S22" s="543">
        <v>518418</v>
      </c>
      <c r="T22" s="543">
        <v>377457</v>
      </c>
      <c r="U22" s="543">
        <v>513680</v>
      </c>
      <c r="V22" s="543">
        <f>Feb!$G26</f>
        <v>431734</v>
      </c>
      <c r="W22" s="543">
        <f>Mar!$G26</f>
        <v>335852</v>
      </c>
      <c r="X22" s="543">
        <f>Apr!$G26</f>
        <v>432834</v>
      </c>
      <c r="Y22" s="543">
        <f>May!$G26</f>
        <v>249954</v>
      </c>
      <c r="Z22" s="543">
        <f>Jun!$G26</f>
        <v>322862</v>
      </c>
      <c r="AA22" s="543">
        <f>Jul!$G26</f>
        <v>247078</v>
      </c>
      <c r="AB22" s="543">
        <f>Aug!$G26</f>
        <v>274690</v>
      </c>
      <c r="AC22" s="543">
        <f>Sep!$G26</f>
        <v>336073</v>
      </c>
      <c r="AD22" s="543">
        <f>Oct!$G27</f>
        <v>365802</v>
      </c>
      <c r="AE22" s="543">
        <f>Nov!$G27</f>
        <v>541377</v>
      </c>
      <c r="AF22" s="543">
        <f>Dec!$G26</f>
        <v>0</v>
      </c>
    </row>
    <row r="23" spans="1:33" hidden="1">
      <c r="A23" s="483"/>
      <c r="B23" s="481" t="s">
        <v>41</v>
      </c>
      <c r="C23" s="491">
        <f t="shared" si="15"/>
        <v>0</v>
      </c>
      <c r="D23" s="491">
        <f t="shared" si="14"/>
        <v>0</v>
      </c>
      <c r="E23" s="491">
        <v>0</v>
      </c>
      <c r="F23" s="491">
        <v>0</v>
      </c>
      <c r="G23" s="491">
        <v>0</v>
      </c>
      <c r="H23" s="491">
        <v>0</v>
      </c>
      <c r="I23" s="543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3"/>
      <c r="AC23" s="543"/>
      <c r="AD23" s="543"/>
      <c r="AE23" s="543"/>
      <c r="AF23" s="543"/>
    </row>
    <row r="24" spans="1:33">
      <c r="A24" s="483"/>
      <c r="B24" s="481" t="s">
        <v>42</v>
      </c>
      <c r="C24" s="491">
        <f t="shared" si="15"/>
        <v>0</v>
      </c>
      <c r="D24" s="491">
        <f t="shared" si="14"/>
        <v>0</v>
      </c>
      <c r="E24" s="491">
        <v>0</v>
      </c>
      <c r="F24" s="491">
        <v>0</v>
      </c>
      <c r="G24" s="491">
        <v>0</v>
      </c>
      <c r="H24" s="491">
        <v>0</v>
      </c>
      <c r="I24" s="543">
        <v>0</v>
      </c>
      <c r="J24" s="543">
        <v>0</v>
      </c>
      <c r="K24" s="543">
        <v>0</v>
      </c>
      <c r="L24" s="543">
        <v>0</v>
      </c>
      <c r="M24" s="543">
        <v>0</v>
      </c>
      <c r="N24" s="543">
        <v>0</v>
      </c>
      <c r="O24" s="543">
        <v>0</v>
      </c>
      <c r="P24" s="543">
        <v>0</v>
      </c>
      <c r="Q24" s="543">
        <v>0</v>
      </c>
      <c r="R24" s="543">
        <v>0</v>
      </c>
      <c r="S24" s="543">
        <v>0</v>
      </c>
      <c r="T24" s="543">
        <v>0</v>
      </c>
      <c r="U24" s="543">
        <v>0</v>
      </c>
      <c r="V24" s="543">
        <f>Feb!$G28</f>
        <v>0</v>
      </c>
      <c r="W24" s="543">
        <f>Mar!$G28</f>
        <v>0</v>
      </c>
      <c r="X24" s="543">
        <f>Apr!$G28</f>
        <v>0</v>
      </c>
      <c r="Y24" s="543">
        <f>May!$G28</f>
        <v>0</v>
      </c>
      <c r="Z24" s="543">
        <f>Jun!$G28</f>
        <v>0</v>
      </c>
      <c r="AA24" s="543">
        <f>Jul!$G28</f>
        <v>0</v>
      </c>
      <c r="AB24" s="543">
        <f>Aug!$G28</f>
        <v>0</v>
      </c>
      <c r="AC24" s="543">
        <f>Sep!$G28</f>
        <v>0</v>
      </c>
      <c r="AD24" s="543">
        <f>Oct!$G29</f>
        <v>0</v>
      </c>
      <c r="AE24" s="543">
        <f>Nov!$G29</f>
        <v>0</v>
      </c>
      <c r="AF24" s="543">
        <f>Dec!$G28</f>
        <v>0</v>
      </c>
    </row>
    <row r="25" spans="1:33" hidden="1">
      <c r="A25" s="483"/>
      <c r="B25" s="481" t="s">
        <v>43</v>
      </c>
      <c r="C25" s="491">
        <f t="shared" si="15"/>
        <v>0</v>
      </c>
      <c r="D25" s="491">
        <f t="shared" si="14"/>
        <v>0</v>
      </c>
      <c r="E25" s="491">
        <v>0</v>
      </c>
      <c r="F25" s="491">
        <v>0</v>
      </c>
      <c r="G25" s="491">
        <v>0</v>
      </c>
      <c r="H25" s="491">
        <v>0</v>
      </c>
      <c r="I25" s="543"/>
      <c r="J25" s="543"/>
      <c r="K25" s="543"/>
      <c r="L25" s="543"/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3"/>
      <c r="AF25" s="543"/>
    </row>
    <row r="26" spans="1:33">
      <c r="A26" s="483"/>
      <c r="B26" s="481" t="s">
        <v>74</v>
      </c>
      <c r="C26" s="491">
        <f t="shared" si="15"/>
        <v>26235211</v>
      </c>
      <c r="D26" s="491">
        <f t="shared" si="14"/>
        <v>30501971</v>
      </c>
      <c r="E26" s="491">
        <v>1818699</v>
      </c>
      <c r="F26" s="491">
        <v>2531895</v>
      </c>
      <c r="G26" s="491">
        <v>2936207</v>
      </c>
      <c r="H26" s="491">
        <v>3675604</v>
      </c>
      <c r="I26" s="543">
        <v>3517013</v>
      </c>
      <c r="J26" s="543">
        <v>3103551</v>
      </c>
      <c r="K26" s="543">
        <v>2882510</v>
      </c>
      <c r="L26" s="543">
        <v>2426511</v>
      </c>
      <c r="M26" s="543">
        <v>2096539</v>
      </c>
      <c r="N26" s="543">
        <v>1865473</v>
      </c>
      <c r="O26" s="543">
        <v>1934510</v>
      </c>
      <c r="P26" s="543">
        <v>1781233</v>
      </c>
      <c r="Q26" s="543">
        <v>1975142</v>
      </c>
      <c r="R26" s="543">
        <v>2307678</v>
      </c>
      <c r="S26" s="543">
        <v>3052956</v>
      </c>
      <c r="T26" s="543">
        <v>3180451</v>
      </c>
      <c r="U26" s="543">
        <v>3286166</v>
      </c>
      <c r="V26" s="543">
        <f>Feb!$G30</f>
        <v>2735718</v>
      </c>
      <c r="W26" s="543">
        <f>Mar!$G30</f>
        <v>2608561</v>
      </c>
      <c r="X26" s="543">
        <f>Apr!$G30</f>
        <v>2436951</v>
      </c>
      <c r="Y26" s="543">
        <f>May!$G30</f>
        <v>2203136</v>
      </c>
      <c r="Z26" s="543">
        <f>Jun!$G30</f>
        <v>1941783</v>
      </c>
      <c r="AA26" s="543">
        <f>Jul!$G30</f>
        <v>1912819</v>
      </c>
      <c r="AB26" s="543">
        <f>Aug!$G30</f>
        <v>1943542</v>
      </c>
      <c r="AC26" s="543">
        <f>Sep!$G30</f>
        <v>1945064</v>
      </c>
      <c r="AD26" s="543">
        <f>Oct!$G31</f>
        <v>2201297</v>
      </c>
      <c r="AE26" s="543">
        <f>Nov!$G31</f>
        <v>3020174</v>
      </c>
      <c r="AF26" s="543">
        <f>Dec!$G30</f>
        <v>0</v>
      </c>
    </row>
    <row r="27" spans="1:33" ht="16" thickBot="1">
      <c r="A27" s="483"/>
      <c r="B27" s="481" t="s">
        <v>21</v>
      </c>
      <c r="C27" s="491">
        <f t="shared" si="15"/>
        <v>149588594</v>
      </c>
      <c r="D27" s="542">
        <f t="shared" si="14"/>
        <v>201084465</v>
      </c>
      <c r="E27" s="542">
        <f>SUM(E19:E26)</f>
        <v>6409834</v>
      </c>
      <c r="F27" s="542">
        <f>SUM(F19:F26)</f>
        <v>16252041</v>
      </c>
      <c r="G27" s="542">
        <f t="shared" ref="G27:H27" si="16">SUM(G19:G26)</f>
        <v>24054373</v>
      </c>
      <c r="H27" s="542">
        <f t="shared" si="16"/>
        <v>34418458</v>
      </c>
      <c r="I27" s="542">
        <v>31759465</v>
      </c>
      <c r="J27" s="542">
        <v>30732294</v>
      </c>
      <c r="K27" s="542">
        <v>22715329</v>
      </c>
      <c r="L27" s="542">
        <v>14000465</v>
      </c>
      <c r="M27" s="542">
        <v>8312398</v>
      </c>
      <c r="N27" s="542">
        <v>6514751</v>
      </c>
      <c r="O27" s="542">
        <v>5757349</v>
      </c>
      <c r="P27" s="542">
        <v>5525718</v>
      </c>
      <c r="Q27" s="542">
        <v>6773435</v>
      </c>
      <c r="R27" s="542">
        <v>10520430</v>
      </c>
      <c r="S27" s="542">
        <v>25535994</v>
      </c>
      <c r="T27" s="542">
        <v>28660002</v>
      </c>
      <c r="U27" s="542">
        <v>29883272</v>
      </c>
      <c r="V27" s="542">
        <f t="shared" ref="V27:AF27" si="17">SUM(V19:V26)</f>
        <v>21809394</v>
      </c>
      <c r="W27" s="542">
        <f t="shared" si="17"/>
        <v>17454090</v>
      </c>
      <c r="X27" s="542">
        <f t="shared" si="17"/>
        <v>14032685</v>
      </c>
      <c r="Y27" s="542">
        <f t="shared" si="17"/>
        <v>7651890</v>
      </c>
      <c r="Z27" s="542">
        <f t="shared" si="17"/>
        <v>5795038</v>
      </c>
      <c r="AA27" s="542">
        <f t="shared" si="17"/>
        <v>5628267</v>
      </c>
      <c r="AB27" s="542">
        <f t="shared" si="17"/>
        <v>5459507</v>
      </c>
      <c r="AC27" s="542">
        <f t="shared" si="17"/>
        <v>7409442</v>
      </c>
      <c r="AD27" s="542">
        <f t="shared" si="17"/>
        <v>10024910</v>
      </c>
      <c r="AE27" s="542">
        <f t="shared" si="17"/>
        <v>24440099</v>
      </c>
      <c r="AF27" s="542">
        <f t="shared" si="17"/>
        <v>0</v>
      </c>
    </row>
    <row r="28" spans="1:33" ht="16" thickTop="1">
      <c r="A28" s="483"/>
      <c r="B28" s="481" t="s">
        <v>269</v>
      </c>
      <c r="C28" s="491">
        <f>SUM(U28:AF28)</f>
        <v>107714143</v>
      </c>
      <c r="D28" s="491">
        <f t="shared" si="14"/>
        <v>201084465</v>
      </c>
      <c r="E28" s="491">
        <v>6409834</v>
      </c>
      <c r="F28" s="491">
        <v>16252041</v>
      </c>
      <c r="G28" s="491">
        <v>24054373</v>
      </c>
      <c r="H28" s="491">
        <v>34418458</v>
      </c>
      <c r="I28" s="491">
        <v>31759465</v>
      </c>
      <c r="J28" s="491">
        <v>30732294</v>
      </c>
      <c r="K28" s="491">
        <v>22715329</v>
      </c>
      <c r="L28" s="491">
        <v>14000465</v>
      </c>
      <c r="M28" s="491">
        <v>8312398</v>
      </c>
      <c r="N28" s="491">
        <v>6514751</v>
      </c>
      <c r="O28" s="491">
        <v>5757349</v>
      </c>
      <c r="P28" s="491">
        <v>5525718</v>
      </c>
      <c r="Q28" s="491">
        <v>6773435</v>
      </c>
      <c r="R28" s="491">
        <v>10520430</v>
      </c>
      <c r="S28" s="491">
        <v>25535994</v>
      </c>
      <c r="T28" s="491">
        <v>28660002</v>
      </c>
      <c r="U28" s="491">
        <v>29883272</v>
      </c>
      <c r="V28" s="491">
        <v>21809394</v>
      </c>
      <c r="W28" s="491">
        <v>17454090</v>
      </c>
      <c r="X28" s="491">
        <v>14032685</v>
      </c>
      <c r="Y28" s="491">
        <v>7651890</v>
      </c>
      <c r="Z28" s="491">
        <v>5795038</v>
      </c>
      <c r="AA28" s="491">
        <v>5628267</v>
      </c>
      <c r="AB28" s="687">
        <v>5459507</v>
      </c>
      <c r="AC28" s="491"/>
      <c r="AD28" s="491"/>
      <c r="AE28" s="491"/>
      <c r="AF28" s="491"/>
      <c r="AG28" s="491"/>
    </row>
    <row r="29" spans="1:33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</row>
    <row r="30" spans="1:33">
      <c r="A30" s="484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D30" si="18">U30+1</f>
        <v>201502</v>
      </c>
      <c r="W30" s="484">
        <f t="shared" si="18"/>
        <v>201503</v>
      </c>
      <c r="X30" s="484">
        <f t="shared" si="18"/>
        <v>201504</v>
      </c>
      <c r="Y30" s="484">
        <f t="shared" si="18"/>
        <v>201505</v>
      </c>
      <c r="Z30" s="484">
        <f t="shared" si="18"/>
        <v>201506</v>
      </c>
      <c r="AA30" s="484">
        <f t="shared" si="18"/>
        <v>201507</v>
      </c>
      <c r="AB30" s="484">
        <f t="shared" si="18"/>
        <v>201508</v>
      </c>
      <c r="AC30" s="484">
        <f t="shared" si="18"/>
        <v>201509</v>
      </c>
      <c r="AD30" s="484">
        <f t="shared" si="18"/>
        <v>201510</v>
      </c>
      <c r="AE30" s="484">
        <f>AD30+1</f>
        <v>201511</v>
      </c>
      <c r="AF30" s="484">
        <f t="shared" ref="AF30" si="19">AE30+1</f>
        <v>201512</v>
      </c>
    </row>
    <row r="31" spans="1:33">
      <c r="A31" s="483"/>
      <c r="B31" s="481" t="s">
        <v>37</v>
      </c>
      <c r="E31" s="492">
        <v>3.3950000000000001E-2</v>
      </c>
      <c r="F31" s="492">
        <v>3.3950000000000001E-2</v>
      </c>
      <c r="G31" s="496" t="s">
        <v>270</v>
      </c>
      <c r="H31" s="496" t="s">
        <v>270</v>
      </c>
      <c r="I31" s="492">
        <v>-2.9299999999999999E-3</v>
      </c>
      <c r="J31" s="492">
        <v>-2.9299999999999999E-3</v>
      </c>
      <c r="K31" s="492">
        <v>-2.9299999999999999E-3</v>
      </c>
      <c r="L31" s="492">
        <v>-2.9299999999999999E-3</v>
      </c>
      <c r="M31" s="492">
        <v>-2.9299999999999999E-3</v>
      </c>
      <c r="N31" s="492">
        <v>-2.9299999999999999E-3</v>
      </c>
      <c r="O31" s="492">
        <v>-2.9299999999999999E-3</v>
      </c>
      <c r="P31" s="492">
        <v>-2.9299999999999999E-3</v>
      </c>
      <c r="Q31" s="492">
        <v>-2.9299999999999999E-3</v>
      </c>
      <c r="R31" s="492">
        <v>-2.9299999999999999E-3</v>
      </c>
      <c r="S31" s="496" t="s">
        <v>270</v>
      </c>
      <c r="T31" s="496" t="s">
        <v>270</v>
      </c>
      <c r="U31" s="492">
        <v>1.436E-2</v>
      </c>
      <c r="V31" s="492">
        <v>1.436E-2</v>
      </c>
      <c r="W31" s="492">
        <v>1.436E-2</v>
      </c>
      <c r="X31" s="492">
        <v>1.436E-2</v>
      </c>
      <c r="Y31" s="492">
        <v>1.436E-2</v>
      </c>
      <c r="Z31" s="492">
        <v>1.436E-2</v>
      </c>
      <c r="AA31" s="492">
        <v>1.436E-2</v>
      </c>
      <c r="AB31" s="492">
        <v>1.436E-2</v>
      </c>
      <c r="AC31" s="492">
        <v>1.436E-2</v>
      </c>
      <c r="AD31" s="492">
        <v>1.436E-2</v>
      </c>
      <c r="AE31" s="496" t="s">
        <v>270</v>
      </c>
      <c r="AF31" s="496" t="s">
        <v>270</v>
      </c>
    </row>
    <row r="32" spans="1:33">
      <c r="A32" s="483"/>
      <c r="B32" s="481" t="s">
        <v>38</v>
      </c>
      <c r="E32" s="492">
        <v>3.0599999999999999E-2</v>
      </c>
      <c r="F32" s="492">
        <v>3.0599999999999999E-2</v>
      </c>
      <c r="G32" s="496" t="s">
        <v>270</v>
      </c>
      <c r="H32" s="496" t="s">
        <v>270</v>
      </c>
      <c r="I32" s="492">
        <v>-5.5599999999999998E-3</v>
      </c>
      <c r="J32" s="492">
        <v>-5.5599999999999998E-3</v>
      </c>
      <c r="K32" s="492">
        <v>-5.5599999999999998E-3</v>
      </c>
      <c r="L32" s="492">
        <v>-5.5599999999999998E-3</v>
      </c>
      <c r="M32" s="492">
        <v>-5.5599999999999998E-3</v>
      </c>
      <c r="N32" s="492">
        <v>-5.5599999999999998E-3</v>
      </c>
      <c r="O32" s="492">
        <v>-5.5599999999999998E-3</v>
      </c>
      <c r="P32" s="492">
        <v>-5.5599999999999998E-3</v>
      </c>
      <c r="Q32" s="492">
        <v>-5.5599999999999998E-3</v>
      </c>
      <c r="R32" s="492">
        <v>-5.5599999999999998E-3</v>
      </c>
      <c r="S32" s="496" t="s">
        <v>270</v>
      </c>
      <c r="T32" s="496" t="s">
        <v>270</v>
      </c>
      <c r="U32" s="492">
        <v>8.0800000000000004E-3</v>
      </c>
      <c r="V32" s="492">
        <v>8.0800000000000004E-3</v>
      </c>
      <c r="W32" s="492">
        <v>8.0800000000000004E-3</v>
      </c>
      <c r="X32" s="492">
        <v>8.0800000000000004E-3</v>
      </c>
      <c r="Y32" s="492">
        <v>8.0800000000000004E-3</v>
      </c>
      <c r="Z32" s="492">
        <v>8.0800000000000004E-3</v>
      </c>
      <c r="AA32" s="492">
        <v>8.0800000000000004E-3</v>
      </c>
      <c r="AB32" s="492">
        <v>8.0800000000000004E-3</v>
      </c>
      <c r="AC32" s="492">
        <v>8.0800000000000004E-3</v>
      </c>
      <c r="AD32" s="492">
        <v>8.0800000000000004E-3</v>
      </c>
      <c r="AE32" s="496" t="s">
        <v>270</v>
      </c>
      <c r="AF32" s="496" t="s">
        <v>270</v>
      </c>
    </row>
    <row r="33" spans="1:39" hidden="1">
      <c r="A33" s="483"/>
      <c r="B33" s="481" t="s">
        <v>39</v>
      </c>
      <c r="E33" s="492"/>
      <c r="F33" s="492"/>
      <c r="G33" s="496" t="s">
        <v>270</v>
      </c>
      <c r="H33" s="496" t="s">
        <v>270</v>
      </c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 t="s">
        <v>270</v>
      </c>
      <c r="T33" s="496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6" t="s">
        <v>270</v>
      </c>
      <c r="AF33" s="496" t="s">
        <v>270</v>
      </c>
    </row>
    <row r="34" spans="1:39">
      <c r="A34" s="483"/>
      <c r="B34" s="481" t="s">
        <v>40</v>
      </c>
      <c r="E34" s="492">
        <v>2.998E-2</v>
      </c>
      <c r="F34" s="492">
        <v>2.998E-2</v>
      </c>
      <c r="G34" s="496" t="s">
        <v>270</v>
      </c>
      <c r="H34" s="496" t="s">
        <v>270</v>
      </c>
      <c r="I34" s="492">
        <v>-1.5820000000000001E-2</v>
      </c>
      <c r="J34" s="492">
        <v>-1.5820000000000001E-2</v>
      </c>
      <c r="K34" s="492">
        <v>-1.5820000000000001E-2</v>
      </c>
      <c r="L34" s="492">
        <v>-1.5820000000000001E-2</v>
      </c>
      <c r="M34" s="492">
        <v>-1.5820000000000001E-2</v>
      </c>
      <c r="N34" s="492">
        <v>-1.5820000000000001E-2</v>
      </c>
      <c r="O34" s="492">
        <v>-1.5820000000000001E-2</v>
      </c>
      <c r="P34" s="492">
        <v>-1.5820000000000001E-2</v>
      </c>
      <c r="Q34" s="492">
        <v>-1.5820000000000001E-2</v>
      </c>
      <c r="R34" s="492">
        <v>-1.5820000000000001E-2</v>
      </c>
      <c r="S34" s="496" t="s">
        <v>270</v>
      </c>
      <c r="T34" s="496" t="s">
        <v>270</v>
      </c>
      <c r="U34" s="492">
        <v>-1.0359999999999999E-2</v>
      </c>
      <c r="V34" s="492">
        <v>-1.0359999999999999E-2</v>
      </c>
      <c r="W34" s="492">
        <v>-1.0359999999999999E-2</v>
      </c>
      <c r="X34" s="492">
        <v>-1.0359999999999999E-2</v>
      </c>
      <c r="Y34" s="492">
        <v>-1.0359999999999999E-2</v>
      </c>
      <c r="Z34" s="492">
        <v>-1.0359999999999999E-2</v>
      </c>
      <c r="AA34" s="492">
        <v>-1.0359999999999999E-2</v>
      </c>
      <c r="AB34" s="492">
        <v>-1.0359999999999999E-2</v>
      </c>
      <c r="AC34" s="492">
        <v>-1.0359999999999999E-2</v>
      </c>
      <c r="AD34" s="492">
        <v>-1.0359999999999999E-2</v>
      </c>
      <c r="AE34" s="496" t="s">
        <v>270</v>
      </c>
      <c r="AF34" s="496" t="s">
        <v>270</v>
      </c>
    </row>
    <row r="35" spans="1:39" hidden="1">
      <c r="A35" s="483"/>
      <c r="B35" s="481" t="s">
        <v>41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</row>
    <row r="36" spans="1:39" ht="16" thickBot="1">
      <c r="A36" s="483"/>
      <c r="B36" s="481" t="s">
        <v>42</v>
      </c>
      <c r="E36" s="492">
        <v>5.7389999999999997E-2</v>
      </c>
      <c r="F36" s="492">
        <v>5.7389999999999997E-2</v>
      </c>
      <c r="G36" s="496" t="s">
        <v>270</v>
      </c>
      <c r="H36" s="496" t="s">
        <v>270</v>
      </c>
      <c r="I36" s="492">
        <v>3.0499999999999999E-2</v>
      </c>
      <c r="J36" s="492">
        <v>3.0499999999999999E-2</v>
      </c>
      <c r="K36" s="492">
        <v>3.0499999999999999E-2</v>
      </c>
      <c r="L36" s="492">
        <v>3.0499999999999999E-2</v>
      </c>
      <c r="M36" s="492">
        <v>3.0499999999999999E-2</v>
      </c>
      <c r="N36" s="492">
        <v>3.0499999999999999E-2</v>
      </c>
      <c r="O36" s="492">
        <v>3.0499999999999999E-2</v>
      </c>
      <c r="P36" s="492">
        <v>3.0499999999999999E-2</v>
      </c>
      <c r="Q36" s="492">
        <v>3.0499999999999999E-2</v>
      </c>
      <c r="R36" s="492">
        <v>3.0499999999999999E-2</v>
      </c>
      <c r="S36" s="496" t="s">
        <v>270</v>
      </c>
      <c r="T36" s="496" t="s">
        <v>270</v>
      </c>
      <c r="U36" s="492">
        <v>-2.3310000000000001E-2</v>
      </c>
      <c r="V36" s="492">
        <v>-2.3310000000000001E-2</v>
      </c>
      <c r="W36" s="492">
        <v>-2.3310000000000001E-2</v>
      </c>
      <c r="X36" s="492">
        <v>-2.3310000000000001E-2</v>
      </c>
      <c r="Y36" s="492">
        <v>-2.3310000000000001E-2</v>
      </c>
      <c r="Z36" s="492">
        <v>-2.3310000000000001E-2</v>
      </c>
      <c r="AA36" s="492">
        <v>-2.3310000000000001E-2</v>
      </c>
      <c r="AB36" s="492">
        <v>-2.3310000000000001E-2</v>
      </c>
      <c r="AC36" s="492">
        <v>-2.3310000000000001E-2</v>
      </c>
      <c r="AD36" s="492">
        <v>-2.3310000000000001E-2</v>
      </c>
      <c r="AE36" s="496" t="s">
        <v>270</v>
      </c>
      <c r="AF36" s="496" t="s">
        <v>270</v>
      </c>
    </row>
    <row r="37" spans="1:39" ht="16" hidden="1" thickBot="1">
      <c r="A37" s="483"/>
      <c r="B37" s="481" t="s">
        <v>43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H37" s="483"/>
      <c r="AI37" s="484"/>
      <c r="AJ37" s="483"/>
      <c r="AK37" s="483"/>
      <c r="AL37" s="483"/>
      <c r="AM37" s="483"/>
    </row>
    <row r="38" spans="1:39" ht="16" thickBot="1">
      <c r="A38" s="483"/>
      <c r="B38" s="481" t="s">
        <v>74</v>
      </c>
      <c r="E38" s="492">
        <v>0</v>
      </c>
      <c r="F38" s="492">
        <v>0</v>
      </c>
      <c r="G38" s="496" t="s">
        <v>270</v>
      </c>
      <c r="H38" s="496" t="s">
        <v>270</v>
      </c>
      <c r="I38" s="492">
        <v>0</v>
      </c>
      <c r="J38" s="492">
        <v>0</v>
      </c>
      <c r="K38" s="492">
        <v>0</v>
      </c>
      <c r="L38" s="492">
        <v>0</v>
      </c>
      <c r="M38" s="492">
        <v>0</v>
      </c>
      <c r="N38" s="492">
        <v>0</v>
      </c>
      <c r="O38" s="492">
        <v>0</v>
      </c>
      <c r="P38" s="492">
        <v>0</v>
      </c>
      <c r="Q38" s="492">
        <v>0</v>
      </c>
      <c r="R38" s="492">
        <v>0</v>
      </c>
      <c r="S38" s="496" t="s">
        <v>270</v>
      </c>
      <c r="T38" s="496" t="s">
        <v>270</v>
      </c>
      <c r="U38" s="492">
        <v>0</v>
      </c>
      <c r="V38" s="492">
        <v>0</v>
      </c>
      <c r="W38" s="492">
        <v>0</v>
      </c>
      <c r="X38" s="492">
        <v>0</v>
      </c>
      <c r="Y38" s="492">
        <v>0</v>
      </c>
      <c r="Z38" s="492">
        <v>0</v>
      </c>
      <c r="AA38" s="492">
        <v>0</v>
      </c>
      <c r="AB38" s="492">
        <v>0</v>
      </c>
      <c r="AC38" s="492">
        <v>0</v>
      </c>
      <c r="AD38" s="492">
        <v>0</v>
      </c>
      <c r="AE38" s="496" t="s">
        <v>270</v>
      </c>
      <c r="AF38" s="496" t="s">
        <v>270</v>
      </c>
      <c r="AH38" s="513">
        <f>AH4</f>
        <v>201508</v>
      </c>
      <c r="AI38" s="526"/>
      <c r="AJ38" s="514"/>
      <c r="AK38" s="514"/>
      <c r="AL38" s="514"/>
      <c r="AM38" s="515"/>
    </row>
    <row r="39" spans="1:39">
      <c r="A39" s="483" t="s">
        <v>293</v>
      </c>
      <c r="E39" s="492"/>
      <c r="F39" s="492"/>
      <c r="G39" s="496"/>
      <c r="H39" s="496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H39" s="497" t="s">
        <v>298</v>
      </c>
      <c r="AI39" s="527">
        <v>419600</v>
      </c>
      <c r="AJ39" s="498" t="s">
        <v>288</v>
      </c>
      <c r="AK39" s="498" t="s">
        <v>289</v>
      </c>
      <c r="AL39" s="519">
        <v>0</v>
      </c>
      <c r="AM39" s="520">
        <f>IF(SUMIF(E40:AF40,AH38,E44:AF44)&gt;0,SUMIF(E40:AF40,AH38,E44:AF44),0)</f>
        <v>0</v>
      </c>
    </row>
    <row r="40" spans="1:39" s="483" customFormat="1">
      <c r="A40" s="484">
        <v>191000</v>
      </c>
      <c r="B40" s="485" t="s">
        <v>256</v>
      </c>
      <c r="C40" s="486" t="s">
        <v>251</v>
      </c>
      <c r="D40" s="688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D40" si="20">U40+1</f>
        <v>201502</v>
      </c>
      <c r="W40" s="484">
        <f t="shared" si="20"/>
        <v>201503</v>
      </c>
      <c r="X40" s="484">
        <f t="shared" si="20"/>
        <v>201504</v>
      </c>
      <c r="Y40" s="484">
        <f t="shared" si="20"/>
        <v>201505</v>
      </c>
      <c r="Z40" s="484">
        <f t="shared" si="20"/>
        <v>201506</v>
      </c>
      <c r="AA40" s="484">
        <f t="shared" si="20"/>
        <v>201507</v>
      </c>
      <c r="AB40" s="484">
        <f t="shared" si="20"/>
        <v>201508</v>
      </c>
      <c r="AC40" s="484">
        <f t="shared" si="20"/>
        <v>201509</v>
      </c>
      <c r="AD40" s="484">
        <f t="shared" si="20"/>
        <v>201510</v>
      </c>
      <c r="AE40" s="484">
        <f>AD40+1</f>
        <v>201511</v>
      </c>
      <c r="AF40" s="484">
        <f t="shared" ref="AF40" si="21">AE40+1</f>
        <v>201512</v>
      </c>
      <c r="AH40" s="499" t="s">
        <v>299</v>
      </c>
      <c r="AI40" s="528">
        <v>431600</v>
      </c>
      <c r="AJ40" s="358" t="s">
        <v>288</v>
      </c>
      <c r="AK40" s="358" t="s">
        <v>289</v>
      </c>
      <c r="AL40" s="381">
        <f>IF(SUMIF(E40:AF40,AH38,E44:AF44)&lt;0,-SUMIF(E40:AF40,AH38,E44:AF44),0)</f>
        <v>1407.5070256628373</v>
      </c>
      <c r="AM40" s="500">
        <v>0</v>
      </c>
    </row>
    <row r="41" spans="1:39" s="483" customFormat="1">
      <c r="B41" s="485" t="s">
        <v>257</v>
      </c>
      <c r="C41" s="482"/>
      <c r="E41" s="488">
        <v>3.2500000000000001E-2</v>
      </c>
      <c r="F41" s="488">
        <v>3.2500000000000001E-2</v>
      </c>
      <c r="G41" s="488">
        <v>3.2500000000000001E-2</v>
      </c>
      <c r="H41" s="488">
        <v>3.2500000000000001E-2</v>
      </c>
      <c r="I41" s="488">
        <v>3.2500000000000001E-2</v>
      </c>
      <c r="J41" s="488">
        <v>3.2500000000000001E-2</v>
      </c>
      <c r="K41" s="488">
        <v>3.2500000000000001E-2</v>
      </c>
      <c r="L41" s="488">
        <v>3.2500000000000001E-2</v>
      </c>
      <c r="M41" s="488">
        <v>3.2500000000000001E-2</v>
      </c>
      <c r="N41" s="488">
        <v>3.2500000000000001E-2</v>
      </c>
      <c r="O41" s="488">
        <v>3.2500000000000001E-2</v>
      </c>
      <c r="P41" s="488">
        <v>3.2500000000000001E-2</v>
      </c>
      <c r="Q41" s="488">
        <v>3.2500000000000001E-2</v>
      </c>
      <c r="R41" s="488">
        <v>3.2500000000000001E-2</v>
      </c>
      <c r="S41" s="488">
        <v>3.2500000000000001E-2</v>
      </c>
      <c r="T41" s="488">
        <v>3.2500000000000001E-2</v>
      </c>
      <c r="U41" s="488">
        <v>3.2500000000000001E-2</v>
      </c>
      <c r="V41" s="488">
        <v>3.2500000000000001E-2</v>
      </c>
      <c r="W41" s="488">
        <v>3.2500000000000001E-2</v>
      </c>
      <c r="X41" s="488">
        <v>3.2500000000000001E-2</v>
      </c>
      <c r="Y41" s="488">
        <v>3.2500000000000001E-2</v>
      </c>
      <c r="Z41" s="488">
        <v>3.2500000000000001E-2</v>
      </c>
      <c r="AA41" s="488">
        <v>3.2500000000000001E-2</v>
      </c>
      <c r="AB41" s="488">
        <v>3.2500000000000001E-2</v>
      </c>
      <c r="AC41" s="488">
        <v>3.2500000000000001E-2</v>
      </c>
      <c r="AD41" s="488">
        <v>3.2500000000000001E-2</v>
      </c>
      <c r="AE41" s="488">
        <v>3.2500000000000001E-2</v>
      </c>
      <c r="AF41" s="488">
        <v>3.2500000000000001E-2</v>
      </c>
      <c r="AH41" s="499" t="s">
        <v>300</v>
      </c>
      <c r="AI41" s="528">
        <v>191000</v>
      </c>
      <c r="AJ41" s="358" t="s">
        <v>288</v>
      </c>
      <c r="AK41" s="358" t="s">
        <v>289</v>
      </c>
      <c r="AL41" s="381">
        <f>IF((SUMIF(E40:AF40,AH38,E43:AF43)+SUMIF(E40:AF40,AH38,E44:AF44))&gt;0,(SUMIF(E40:AF40,AH38,E43:AF43)+SUMIF(E40:AF40,AH38,E44:AF44)),0)</f>
        <v>34225.243414337157</v>
      </c>
      <c r="AM41" s="500">
        <f>IF((SUMIF(E40:AF40,AH38,E43:AF43)+SUMIF(E40:AF40,AH38,E44:AF44))&lt;0,-(SUMIF(E40:AF40,AH38,E43:AF43)+SUMIF(E40:AF40,AH38,E44:AF44)),0)</f>
        <v>0</v>
      </c>
    </row>
    <row r="42" spans="1:39">
      <c r="A42" s="493"/>
      <c r="B42" s="481" t="s">
        <v>253</v>
      </c>
      <c r="E42" s="482">
        <v>-194854.27149590768</v>
      </c>
      <c r="F42" s="482">
        <f>E47</f>
        <v>-46035.360287444513</v>
      </c>
      <c r="G42" s="482">
        <f>F47</f>
        <v>404885.58467682183</v>
      </c>
      <c r="H42" s="482">
        <f>G47</f>
        <v>1486369.5928734979</v>
      </c>
      <c r="I42" s="482">
        <v>1388326.8065187801</v>
      </c>
      <c r="J42" s="482">
        <v>1256080.2312424269</v>
      </c>
      <c r="K42" s="482">
        <v>1153258.7731084346</v>
      </c>
      <c r="L42" s="482">
        <v>1078717.1045833002</v>
      </c>
      <c r="M42" s="482">
        <v>1033496.2426010612</v>
      </c>
      <c r="N42" s="482">
        <v>1007906.7387058339</v>
      </c>
      <c r="O42" s="482">
        <v>987738.42680743511</v>
      </c>
      <c r="P42" s="482">
        <v>972066.68936231779</v>
      </c>
      <c r="Q42" s="482">
        <v>955827.4742971377</v>
      </c>
      <c r="R42" s="482">
        <v>935484.97275235492</v>
      </c>
      <c r="S42" s="482">
        <v>900376.74388303224</v>
      </c>
      <c r="T42" s="482">
        <v>-1984640.7833043733</v>
      </c>
      <c r="U42" s="482">
        <v>-1530288.7769039478</v>
      </c>
      <c r="V42" s="482">
        <f>U47</f>
        <v>-1203520.6941716045</v>
      </c>
      <c r="W42" s="482">
        <f t="shared" ref="W42:AD42" si="22">V47</f>
        <v>-978605.01769356499</v>
      </c>
      <c r="X42" s="482">
        <f t="shared" si="22"/>
        <v>-801445.32791263924</v>
      </c>
      <c r="Y42" s="482">
        <f t="shared" si="22"/>
        <v>-669275.24177190254</v>
      </c>
      <c r="Z42" s="482">
        <f t="shared" si="22"/>
        <v>-610882.24266902648</v>
      </c>
      <c r="AA42" s="482">
        <f t="shared" si="22"/>
        <v>-574943.04011245095</v>
      </c>
      <c r="AB42" s="482">
        <f t="shared" si="22"/>
        <v>-537511.27700320142</v>
      </c>
      <c r="AC42" s="482">
        <f t="shared" si="22"/>
        <v>-503286.03358886426</v>
      </c>
      <c r="AD42" s="482">
        <f t="shared" si="22"/>
        <v>-446057.56644618412</v>
      </c>
      <c r="AE42" s="482">
        <f>AD47</f>
        <v>-360324.16779451753</v>
      </c>
      <c r="AF42" s="482">
        <f t="shared" ref="AF42" si="23">AE47</f>
        <v>-361300.04574896104</v>
      </c>
      <c r="AH42" s="499" t="s">
        <v>301</v>
      </c>
      <c r="AI42" s="528">
        <v>805110</v>
      </c>
      <c r="AJ42" s="358" t="s">
        <v>288</v>
      </c>
      <c r="AK42" s="358" t="s">
        <v>289</v>
      </c>
      <c r="AL42" s="381">
        <f>IF((SUMIF(E40:AF40,AH38,E43:AF43))&lt;0,-(SUMIF(E40:AF40,AH38,E43:AF43)),0)</f>
        <v>0</v>
      </c>
      <c r="AM42" s="500">
        <f>IF((SUMIF(E40:AF40,AH38,E43:AF43))&gt;0,(SUMIF(E40:AF40,AH38,E43:AF43)),0)</f>
        <v>35632.750439999996</v>
      </c>
    </row>
    <row r="43" spans="1:39">
      <c r="B43" s="481" t="s">
        <v>23</v>
      </c>
      <c r="C43" s="482">
        <f>SUM(U43:AF43)</f>
        <v>1189629.81828</v>
      </c>
      <c r="D43" s="494">
        <f>SUM(G43:R43)</f>
        <v>-672918.74727999989</v>
      </c>
      <c r="E43" s="482">
        <f>SUMPRODUCT(E19:E26,E31:E38)</f>
        <v>149144.67478</v>
      </c>
      <c r="F43" s="482">
        <f>SUMPRODUCT(F19:F26,F31:F38)</f>
        <v>450435.65911000001</v>
      </c>
      <c r="G43" s="482">
        <v>-82277.84</v>
      </c>
      <c r="H43" s="482">
        <v>-101930.34</v>
      </c>
      <c r="I43" s="482">
        <v>-108116.73896</v>
      </c>
      <c r="J43" s="482">
        <v>-106079.69250999999</v>
      </c>
      <c r="K43" s="482">
        <v>-77560.048470000009</v>
      </c>
      <c r="L43" s="482">
        <v>-48077.28282</v>
      </c>
      <c r="M43" s="482">
        <v>-28350.165369999999</v>
      </c>
      <c r="N43" s="482">
        <v>-22867.09346</v>
      </c>
      <c r="O43" s="482">
        <v>-18322.051239999997</v>
      </c>
      <c r="P43" s="482">
        <v>-18846.37455</v>
      </c>
      <c r="Q43" s="482">
        <v>-22900.190279999999</v>
      </c>
      <c r="R43" s="482">
        <v>-37590.929620000003</v>
      </c>
      <c r="S43" s="557">
        <v>257672.26615000004</v>
      </c>
      <c r="T43" s="557">
        <v>312766.45</v>
      </c>
      <c r="U43" s="482">
        <v>330465.11</v>
      </c>
      <c r="V43" s="482">
        <f>SUMPRODUCT(V19:V26,V31:V38)</f>
        <v>227866.64228000003</v>
      </c>
      <c r="W43" s="482">
        <f t="shared" ref="W43:X43" si="24">SUMPRODUCT(W19:W26,W31:W38)</f>
        <v>179566.91484000001</v>
      </c>
      <c r="X43" s="482">
        <f t="shared" si="24"/>
        <v>134158.99359999999</v>
      </c>
      <c r="Y43" s="482">
        <f>SUMPRODUCT(Y19:Y26,Y31:Y38)</f>
        <v>60124.201359999999</v>
      </c>
      <c r="Z43" s="482">
        <f t="shared" ref="Z43:AD43" si="25">SUMPRODUCT(Z19:Z26,Z31:Z38)</f>
        <v>37542.836040000002</v>
      </c>
      <c r="AA43" s="482">
        <f t="shared" si="25"/>
        <v>38936.174440000003</v>
      </c>
      <c r="AB43" s="482">
        <f t="shared" si="25"/>
        <v>35632.750439999996</v>
      </c>
      <c r="AC43" s="482">
        <f t="shared" si="25"/>
        <v>58512.29808</v>
      </c>
      <c r="AD43" s="482">
        <f t="shared" si="25"/>
        <v>86823.897200000007</v>
      </c>
      <c r="AE43" s="563"/>
      <c r="AF43" s="563"/>
      <c r="AH43" s="153" t="s">
        <v>156</v>
      </c>
      <c r="AI43" s="209">
        <f>AI41</f>
        <v>191000</v>
      </c>
      <c r="AJ43" s="209" t="str">
        <f t="shared" ref="AJ43:AK44" si="26">AJ41</f>
        <v>GD</v>
      </c>
      <c r="AK43" s="209" t="str">
        <f t="shared" si="26"/>
        <v>WA</v>
      </c>
      <c r="AL43" s="472">
        <v>0</v>
      </c>
      <c r="AM43" s="462">
        <v>0</v>
      </c>
    </row>
    <row r="44" spans="1:39" ht="16" thickBot="1">
      <c r="B44" s="481" t="s">
        <v>4</v>
      </c>
      <c r="C44" s="482">
        <f t="shared" ref="C44:C46" si="27">SUM(U44:AF44)</f>
        <v>-21619.608082249844</v>
      </c>
      <c r="D44" s="494">
        <f>SUM(G44:R44)</f>
        <v>36498.65781942301</v>
      </c>
      <c r="E44" s="482">
        <f>(E42*(E41/12))+((E43/2)*(E41/12))</f>
        <v>-325.7635715368333</v>
      </c>
      <c r="F44" s="482">
        <f>(F42*(F41/12))+((F43/2)*(F41/12))</f>
        <v>485.28585426629616</v>
      </c>
      <c r="G44" s="482">
        <f>((G42+G45)*(G41/12))+(((G43+G46)/2)*(G41/12))</f>
        <v>4107.1195298889406</v>
      </c>
      <c r="H44" s="489">
        <f>(H42*(H41/12))+((H43/2)*(H41/12))</f>
        <v>3887.5536452823899</v>
      </c>
      <c r="I44" s="489">
        <v>3613.643683646696</v>
      </c>
      <c r="J44" s="489">
        <v>3258.2343760076146</v>
      </c>
      <c r="K44" s="489">
        <v>3018.3799448655523</v>
      </c>
      <c r="L44" s="489">
        <v>2856.4208377610212</v>
      </c>
      <c r="M44" s="489">
        <v>2760.6614747726658</v>
      </c>
      <c r="N44" s="489">
        <v>2698.7815616012172</v>
      </c>
      <c r="O44" s="489">
        <v>2650.3137948826366</v>
      </c>
      <c r="P44" s="489">
        <v>2607.1594848198192</v>
      </c>
      <c r="Q44" s="489">
        <v>2557.688735217248</v>
      </c>
      <c r="R44" s="489">
        <v>2482.7007506772115</v>
      </c>
      <c r="S44" s="559">
        <v>-5609.7233374053303</v>
      </c>
      <c r="T44" s="560">
        <v>-4753.3635995743443</v>
      </c>
      <c r="U44" s="489">
        <v>-3697.0272676565255</v>
      </c>
      <c r="V44" s="489">
        <f t="shared" ref="V44:AD44" si="28">((V42*(V41/12))+((V43/2)*(V41/12)))</f>
        <v>-2950.9658019605959</v>
      </c>
      <c r="W44" s="489">
        <f>((W42*(W41/12))+((W43/2)*(W41/12)))</f>
        <v>-2407.2250590742387</v>
      </c>
      <c r="X44" s="489">
        <f t="shared" si="28"/>
        <v>-1988.9074592633983</v>
      </c>
      <c r="Y44" s="489">
        <f t="shared" si="28"/>
        <v>-1731.2022571239027</v>
      </c>
      <c r="Z44" s="489">
        <f t="shared" si="28"/>
        <v>-1603.6334834244467</v>
      </c>
      <c r="AA44" s="489">
        <f t="shared" si="28"/>
        <v>-1504.4113307503878</v>
      </c>
      <c r="AB44" s="489">
        <f t="shared" si="28"/>
        <v>-1407.5070256628373</v>
      </c>
      <c r="AC44" s="489">
        <f t="shared" si="28"/>
        <v>-1283.8309373198406</v>
      </c>
      <c r="AD44" s="489">
        <f t="shared" si="28"/>
        <v>-1090.4985483334153</v>
      </c>
      <c r="AE44" s="560">
        <f>((AE42+AE45)*(AE41/12))+(((AE43+AE46)/2)*(AE41/12))</f>
        <v>-975.87795444348501</v>
      </c>
      <c r="AF44" s="560">
        <f>((AF42+AF45)*(AF41/12))+(((AF43+AF46)/2)*(AF41/12))</f>
        <v>-978.5209572367695</v>
      </c>
      <c r="AH44" s="154" t="str">
        <f>AH43</f>
        <v>Large Customer Refund</v>
      </c>
      <c r="AI44" s="561">
        <f>AI42</f>
        <v>805110</v>
      </c>
      <c r="AJ44" s="561" t="str">
        <f t="shared" si="26"/>
        <v>GD</v>
      </c>
      <c r="AK44" s="561" t="str">
        <f t="shared" si="26"/>
        <v>WA</v>
      </c>
      <c r="AL44" s="464">
        <f>AM43</f>
        <v>0</v>
      </c>
      <c r="AM44" s="473">
        <f>AL43</f>
        <v>0</v>
      </c>
    </row>
    <row r="45" spans="1:39" ht="16" thickBot="1">
      <c r="B45" s="481" t="s">
        <v>259</v>
      </c>
      <c r="C45" s="482">
        <f t="shared" si="27"/>
        <v>0</v>
      </c>
      <c r="E45" s="482">
        <v>0</v>
      </c>
      <c r="F45" s="482">
        <v>0</v>
      </c>
      <c r="G45" s="482">
        <v>1145801.7486667871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-3063910.6100000003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63">
        <f>-AE11-AE10-AE9</f>
        <v>0</v>
      </c>
      <c r="AF45" s="563">
        <v>0</v>
      </c>
      <c r="AH45" s="516"/>
      <c r="AI45" s="530"/>
      <c r="AJ45" s="517"/>
      <c r="AK45" s="517"/>
      <c r="AL45" s="517" t="s">
        <v>159</v>
      </c>
      <c r="AM45" s="518">
        <f>SUM(AL39:AL44)-SUM(AM39:AM44)</f>
        <v>0</v>
      </c>
    </row>
    <row r="46" spans="1:39">
      <c r="B46" s="481" t="s">
        <v>148</v>
      </c>
      <c r="C46" s="482">
        <f t="shared" si="27"/>
        <v>0</v>
      </c>
      <c r="E46" s="482">
        <v>0</v>
      </c>
      <c r="F46" s="482">
        <v>0</v>
      </c>
      <c r="G46" s="482">
        <v>13852.98</v>
      </c>
      <c r="H46" s="482">
        <v>0</v>
      </c>
      <c r="I46" s="538">
        <v>-27743.479999999981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-73169.460000000006</v>
      </c>
      <c r="T46" s="557">
        <v>146338.92000000001</v>
      </c>
      <c r="U46" s="563">
        <v>0</v>
      </c>
      <c r="V46" s="482">
        <v>0</v>
      </c>
      <c r="W46" s="482">
        <v>0</v>
      </c>
      <c r="X46" s="482">
        <v>0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63"/>
      <c r="AF46" s="563">
        <f>-AE46*2</f>
        <v>0</v>
      </c>
    </row>
    <row r="47" spans="1:39" ht="16" thickBot="1">
      <c r="B47" s="481" t="s">
        <v>56</v>
      </c>
      <c r="C47" s="541">
        <f>SUM(C43:C46)</f>
        <v>1168010.2101977502</v>
      </c>
      <c r="D47" s="541"/>
      <c r="E47" s="541">
        <f>SUM(E42:E46)</f>
        <v>-46035.360287444513</v>
      </c>
      <c r="F47" s="541">
        <f t="shared" ref="F47:H47" si="29">SUM(F42:F46)</f>
        <v>404885.58467682183</v>
      </c>
      <c r="G47" s="541">
        <f t="shared" si="29"/>
        <v>1486369.5928734979</v>
      </c>
      <c r="H47" s="541">
        <f t="shared" si="29"/>
        <v>1388326.8065187801</v>
      </c>
      <c r="I47" s="541">
        <v>1256080.2312424269</v>
      </c>
      <c r="J47" s="541">
        <v>1153258.7731084346</v>
      </c>
      <c r="K47" s="541">
        <v>1078717.1045833002</v>
      </c>
      <c r="L47" s="541">
        <v>1033496.2426010612</v>
      </c>
      <c r="M47" s="541">
        <v>1007906.7387058339</v>
      </c>
      <c r="N47" s="541">
        <v>987738.42680743511</v>
      </c>
      <c r="O47" s="541">
        <v>972066.68936231779</v>
      </c>
      <c r="P47" s="541">
        <v>955827.4742971377</v>
      </c>
      <c r="Q47" s="541">
        <v>935484.97275235492</v>
      </c>
      <c r="R47" s="541">
        <v>900376.74388303224</v>
      </c>
      <c r="S47" s="541">
        <v>-1984640.7833043733</v>
      </c>
      <c r="T47" s="541">
        <v>-1530288.7769039478</v>
      </c>
      <c r="U47" s="541">
        <v>-1203520.6941716045</v>
      </c>
      <c r="V47" s="541">
        <f t="shared" ref="V47:AF47" si="30">SUM(V42:V46)</f>
        <v>-978605.01769356499</v>
      </c>
      <c r="W47" s="541">
        <f t="shared" si="30"/>
        <v>-801445.32791263924</v>
      </c>
      <c r="X47" s="541">
        <f t="shared" si="30"/>
        <v>-669275.24177190254</v>
      </c>
      <c r="Y47" s="541">
        <f t="shared" si="30"/>
        <v>-610882.24266902648</v>
      </c>
      <c r="Z47" s="541">
        <f t="shared" si="30"/>
        <v>-574943.04011245095</v>
      </c>
      <c r="AA47" s="541">
        <f t="shared" si="30"/>
        <v>-537511.27700320142</v>
      </c>
      <c r="AB47" s="541">
        <f t="shared" si="30"/>
        <v>-503286.03358886426</v>
      </c>
      <c r="AC47" s="541">
        <f t="shared" si="30"/>
        <v>-446057.56644618412</v>
      </c>
      <c r="AD47" s="541">
        <f t="shared" si="30"/>
        <v>-360324.16779451753</v>
      </c>
      <c r="AE47" s="541">
        <f t="shared" si="30"/>
        <v>-361300.04574896104</v>
      </c>
      <c r="AF47" s="541">
        <f t="shared" si="30"/>
        <v>-362278.5667061978</v>
      </c>
    </row>
    <row r="48" spans="1:39" ht="16" thickTop="1">
      <c r="B48" s="481" t="s">
        <v>260</v>
      </c>
      <c r="E48" s="482" t="e">
        <f ca="1">_xll.Get_Balance(E40,"YTD","USD","Total","A","","001",$A$40,"GD","WA","DL")</f>
        <v>#NAME?</v>
      </c>
      <c r="F48" s="482" t="e">
        <f ca="1">_xll.Get_Balance(F40,"YTD","USD","Total","A","","001",$A$40,"GD","WA","DL")</f>
        <v>#NAME?</v>
      </c>
      <c r="G48" s="482" t="e">
        <f ca="1">_xll.Get_Balance(G40,"YTD","USD","Total","A","","001",$A$40,"GD","WA","DL")</f>
        <v>#NAME?</v>
      </c>
      <c r="H48" s="482" t="e">
        <f ca="1">_xll.Get_Balance(H40,"YTD","USD","Total","A","","001",$A$40,"GD","WA","DL")</f>
        <v>#NAME?</v>
      </c>
      <c r="I48" s="482">
        <v>1256080.45</v>
      </c>
      <c r="J48" s="482">
        <v>1153258.99</v>
      </c>
      <c r="K48" s="482">
        <v>1078717.32</v>
      </c>
      <c r="L48" s="482">
        <v>1033496.46</v>
      </c>
      <c r="M48" s="482">
        <v>1007906.96</v>
      </c>
      <c r="N48" s="482">
        <v>987738.65</v>
      </c>
      <c r="O48" s="482">
        <v>972066.91</v>
      </c>
      <c r="P48" s="482">
        <v>955827.69</v>
      </c>
      <c r="Q48" s="482">
        <v>935485.19</v>
      </c>
      <c r="R48" s="482">
        <v>900376.96</v>
      </c>
      <c r="S48" s="482">
        <v>-1984640.57</v>
      </c>
      <c r="T48" s="482">
        <v>-1530288.56</v>
      </c>
      <c r="U48" s="482">
        <v>-1203520.48</v>
      </c>
      <c r="V48" s="482" t="e">
        <f ca="1">_xll.Get_Balance(V40,"YTD","USD","Total","A","","001",$A$40,"GD","WA","DL")</f>
        <v>#NAME?</v>
      </c>
      <c r="W48" s="482" t="e">
        <f ca="1">_xll.Get_Balance(W40,"YTD","USD","Total","A","","001",$A$40,"GD","WA","DL")</f>
        <v>#NAME?</v>
      </c>
      <c r="X48" s="482" t="e">
        <f ca="1">_xll.Get_Balance(X40,"YTD","USD","Total","A","","001",$A$40,"GD","WA","DL")</f>
        <v>#NAME?</v>
      </c>
      <c r="Y48" s="482" t="e">
        <f ca="1">_xll.Get_Balance(Y40,"YTD","USD","Total","A","","001",$A$40,"GD","WA","DL")</f>
        <v>#NAME?</v>
      </c>
      <c r="Z48" s="482" t="e">
        <f ca="1">_xll.Get_Balance(Z40,"YTD","USD","Total","A","","001",$A$40,"GD","WA","DL")</f>
        <v>#NAME?</v>
      </c>
      <c r="AA48" s="482" t="e">
        <f ca="1">_xll.Get_Balance(AA40,"YTD","USD","Total","A","","001",$A$40,"GD","WA","DL")</f>
        <v>#NAME?</v>
      </c>
      <c r="AB48" s="482" t="e">
        <f ca="1">_xll.Get_Balance(AB40,"YTD","USD","Total","A","","001",$A$40,"GD","WA","DL")</f>
        <v>#NAME?</v>
      </c>
      <c r="AC48" s="482" t="e">
        <f ca="1">_xll.Get_Balance(AC40,"YTD","USD","Total","A","","001",$A$40,"GD","WA","DL")</f>
        <v>#NAME?</v>
      </c>
      <c r="AD48" s="482" t="e">
        <f ca="1">_xll.Get_Balance(AD40,"YTD","USD","Total","A","","001",$A$40,"GD","WA","DL")</f>
        <v>#NAME?</v>
      </c>
      <c r="AE48" s="482" t="e">
        <f ca="1">_xll.Get_Balance(AE40,"YTD","USD","Total","A","","001",$A$40,"GD","WA","DL")</f>
        <v>#NAME?</v>
      </c>
      <c r="AF48" s="482" t="e">
        <f ca="1">_xll.Get_Balance(AF40,"YTD","USD","Total","A","","001",$A$40,"GD","WA","DL")</f>
        <v>#NAME?</v>
      </c>
      <c r="AL48" s="563"/>
    </row>
    <row r="49" spans="1:38">
      <c r="B49" s="481" t="s">
        <v>245</v>
      </c>
      <c r="E49" s="482" t="e">
        <f t="shared" ref="E49:H49" ca="1" si="31">E47-E48</f>
        <v>#NAME?</v>
      </c>
      <c r="F49" s="482" t="e">
        <f t="shared" ca="1" si="31"/>
        <v>#NAME?</v>
      </c>
      <c r="G49" s="482" t="e">
        <f t="shared" ca="1" si="31"/>
        <v>#NAME?</v>
      </c>
      <c r="H49" s="482" t="e">
        <f t="shared" ca="1" si="31"/>
        <v>#NAME?</v>
      </c>
      <c r="I49" s="482">
        <v>-0.21875757304951549</v>
      </c>
      <c r="J49" s="482">
        <v>-0.21689156536012888</v>
      </c>
      <c r="K49" s="482">
        <v>-0.21541669988073409</v>
      </c>
      <c r="L49" s="482">
        <v>-0.2173989387229085</v>
      </c>
      <c r="M49" s="482">
        <v>-0.22129416605457664</v>
      </c>
      <c r="N49" s="482">
        <v>-0.22319256491027772</v>
      </c>
      <c r="O49" s="482">
        <v>-0.22063768224325031</v>
      </c>
      <c r="P49" s="482">
        <v>-0.21570286224596202</v>
      </c>
      <c r="Q49" s="482">
        <v>-0.21724764502141625</v>
      </c>
      <c r="R49" s="482">
        <v>-0.21611696772743016</v>
      </c>
      <c r="S49" s="482">
        <v>-0.21330437320284545</v>
      </c>
      <c r="T49" s="482">
        <v>-0.21690394775941968</v>
      </c>
      <c r="U49" s="482">
        <v>-0.21417160448618233</v>
      </c>
      <c r="V49" s="482" t="e">
        <f t="shared" ref="V49:AF49" ca="1" si="32">V47-V48</f>
        <v>#NAME?</v>
      </c>
      <c r="W49" s="482" t="e">
        <f t="shared" ca="1" si="32"/>
        <v>#NAME?</v>
      </c>
      <c r="X49" s="482" t="e">
        <f t="shared" ca="1" si="32"/>
        <v>#NAME?</v>
      </c>
      <c r="Y49" s="482" t="e">
        <f t="shared" ca="1" si="32"/>
        <v>#NAME?</v>
      </c>
      <c r="Z49" s="482" t="e">
        <f t="shared" ca="1" si="32"/>
        <v>#NAME?</v>
      </c>
      <c r="AA49" s="482" t="e">
        <f t="shared" ca="1" si="32"/>
        <v>#NAME?</v>
      </c>
      <c r="AB49" s="482" t="e">
        <f t="shared" ca="1" si="32"/>
        <v>#NAME?</v>
      </c>
      <c r="AC49" s="482" t="e">
        <f t="shared" ca="1" si="32"/>
        <v>#NAME?</v>
      </c>
      <c r="AD49" s="482" t="e">
        <f t="shared" ca="1" si="32"/>
        <v>#NAME?</v>
      </c>
      <c r="AE49" s="482" t="e">
        <f t="shared" ca="1" si="32"/>
        <v>#NAME?</v>
      </c>
      <c r="AF49" s="482" t="e">
        <f t="shared" ca="1" si="32"/>
        <v>#NAME?</v>
      </c>
    </row>
    <row r="51" spans="1:38">
      <c r="A51" s="483" t="s">
        <v>292</v>
      </c>
      <c r="E51" s="535"/>
      <c r="F51" s="535"/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5"/>
      <c r="S51" s="535"/>
      <c r="T51" s="535"/>
      <c r="U51" s="535"/>
      <c r="V51" s="535"/>
      <c r="W51" s="535"/>
      <c r="X51" s="535"/>
      <c r="Y51" s="535"/>
      <c r="Z51" s="535"/>
      <c r="AA51" s="535"/>
      <c r="AB51" s="535"/>
      <c r="AC51" s="535"/>
      <c r="AD51" s="535"/>
      <c r="AE51" s="535"/>
      <c r="AF51" s="535"/>
    </row>
    <row r="52" spans="1:38">
      <c r="A52" s="484">
        <v>191025</v>
      </c>
      <c r="B52" s="485" t="s">
        <v>256</v>
      </c>
      <c r="C52" s="486" t="s">
        <v>251</v>
      </c>
      <c r="D52" s="486" t="s">
        <v>252</v>
      </c>
      <c r="E52" s="484">
        <v>201309</v>
      </c>
      <c r="F52" s="484">
        <f>E52+1</f>
        <v>201310</v>
      </c>
      <c r="G52" s="484">
        <f>F52+1</f>
        <v>201311</v>
      </c>
      <c r="H52" s="484">
        <f>G52+1</f>
        <v>201312</v>
      </c>
      <c r="I52" s="484">
        <v>201401</v>
      </c>
      <c r="J52" s="484">
        <v>201402</v>
      </c>
      <c r="K52" s="484">
        <v>201403</v>
      </c>
      <c r="L52" s="484">
        <v>201404</v>
      </c>
      <c r="M52" s="484">
        <v>201405</v>
      </c>
      <c r="N52" s="484">
        <v>201406</v>
      </c>
      <c r="O52" s="484">
        <v>201407</v>
      </c>
      <c r="P52" s="484">
        <v>201408</v>
      </c>
      <c r="Q52" s="484">
        <v>201409</v>
      </c>
      <c r="R52" s="484">
        <v>201410</v>
      </c>
      <c r="S52" s="484">
        <v>201411</v>
      </c>
      <c r="T52" s="484">
        <v>201412</v>
      </c>
      <c r="U52" s="484">
        <v>201501</v>
      </c>
      <c r="V52" s="484">
        <f t="shared" ref="V52:AD52" si="33">U52+1</f>
        <v>201502</v>
      </c>
      <c r="W52" s="484">
        <f t="shared" si="33"/>
        <v>201503</v>
      </c>
      <c r="X52" s="484">
        <f t="shared" si="33"/>
        <v>201504</v>
      </c>
      <c r="Y52" s="484">
        <f t="shared" si="33"/>
        <v>201505</v>
      </c>
      <c r="Z52" s="484">
        <f t="shared" si="33"/>
        <v>201506</v>
      </c>
      <c r="AA52" s="484">
        <f t="shared" si="33"/>
        <v>201507</v>
      </c>
      <c r="AB52" s="484">
        <f t="shared" si="33"/>
        <v>201508</v>
      </c>
      <c r="AC52" s="484">
        <f t="shared" si="33"/>
        <v>201509</v>
      </c>
      <c r="AD52" s="484">
        <f t="shared" si="33"/>
        <v>201510</v>
      </c>
      <c r="AE52" s="484">
        <f>AD52+1</f>
        <v>201511</v>
      </c>
      <c r="AF52" s="484">
        <f t="shared" ref="AF52" si="34">AE52+1</f>
        <v>201512</v>
      </c>
      <c r="AL52" s="563"/>
    </row>
    <row r="53" spans="1:38">
      <c r="A53" s="483"/>
      <c r="B53" s="481" t="s">
        <v>37</v>
      </c>
      <c r="C53" s="491">
        <f>SUM(U53:AF53)</f>
        <v>83964548</v>
      </c>
      <c r="D53" s="491">
        <f t="shared" ref="D53:D62" si="35">SUM(G53:R53)</f>
        <v>118507804</v>
      </c>
      <c r="E53" s="491">
        <v>2647538</v>
      </c>
      <c r="F53" s="491">
        <v>9244353</v>
      </c>
      <c r="G53" s="491">
        <v>15070678</v>
      </c>
      <c r="H53" s="491">
        <v>22636008</v>
      </c>
      <c r="I53" s="543">
        <v>20682450</v>
      </c>
      <c r="J53" s="543">
        <v>20184373</v>
      </c>
      <c r="K53" s="543">
        <v>14096743</v>
      </c>
      <c r="L53" s="543">
        <v>7776328</v>
      </c>
      <c r="M53" s="543">
        <v>3691303</v>
      </c>
      <c r="N53" s="543">
        <v>2545780</v>
      </c>
      <c r="O53" s="543">
        <v>2095088</v>
      </c>
      <c r="P53" s="543">
        <v>2047777</v>
      </c>
      <c r="Q53" s="543">
        <v>2727612</v>
      </c>
      <c r="R53" s="543">
        <v>4953664</v>
      </c>
      <c r="S53" s="543">
        <v>15823016</v>
      </c>
      <c r="T53" s="543">
        <v>19056609</v>
      </c>
      <c r="U53" s="543">
        <v>19909674</v>
      </c>
      <c r="V53" s="543">
        <f>Feb!$G23</f>
        <v>13011547</v>
      </c>
      <c r="W53" s="543">
        <f>Mar!$G23</f>
        <v>10479005</v>
      </c>
      <c r="X53" s="543">
        <f>Apr!$G23</f>
        <v>7714478</v>
      </c>
      <c r="Y53" s="543">
        <f>May!$G23</f>
        <v>3297360</v>
      </c>
      <c r="Z53" s="543">
        <f>Jun!$G23</f>
        <v>1968489</v>
      </c>
      <c r="AA53" s="543">
        <f>Jul!$G23</f>
        <v>2145139</v>
      </c>
      <c r="AB53" s="543">
        <f>Aug!$G23</f>
        <v>1956853</v>
      </c>
      <c r="AC53" s="543">
        <f>Sep!$G23</f>
        <v>3273457</v>
      </c>
      <c r="AD53" s="543">
        <f>Oct!$G23</f>
        <v>4833518</v>
      </c>
      <c r="AE53" s="543">
        <f>Nov!$G23</f>
        <v>15375028</v>
      </c>
      <c r="AF53" s="543">
        <f>Dec!$G23</f>
        <v>0</v>
      </c>
    </row>
    <row r="54" spans="1:38">
      <c r="A54" s="483"/>
      <c r="B54" s="481" t="s">
        <v>38</v>
      </c>
      <c r="C54" s="491">
        <f t="shared" ref="C54:C61" si="36">SUM(U54:AF54)</f>
        <v>35336899</v>
      </c>
      <c r="D54" s="491">
        <f t="shared" si="35"/>
        <v>47081391</v>
      </c>
      <c r="E54" s="491">
        <v>1599551</v>
      </c>
      <c r="F54" s="491">
        <v>3880001</v>
      </c>
      <c r="G54" s="491">
        <v>5651303</v>
      </c>
      <c r="H54" s="491">
        <v>7518125</v>
      </c>
      <c r="I54" s="543">
        <v>7025543</v>
      </c>
      <c r="J54" s="543">
        <v>6903553</v>
      </c>
      <c r="K54" s="543">
        <v>5310734</v>
      </c>
      <c r="L54" s="543">
        <v>3390429</v>
      </c>
      <c r="M54" s="543">
        <v>2183609</v>
      </c>
      <c r="N54" s="543">
        <v>1741655</v>
      </c>
      <c r="O54" s="543">
        <v>1476567</v>
      </c>
      <c r="P54" s="543">
        <v>1364087</v>
      </c>
      <c r="Q54" s="543">
        <v>1739755</v>
      </c>
      <c r="R54" s="543">
        <v>2776031</v>
      </c>
      <c r="S54" s="543">
        <v>6141604</v>
      </c>
      <c r="T54" s="543">
        <v>6045485</v>
      </c>
      <c r="U54" s="543">
        <v>6173752</v>
      </c>
      <c r="V54" s="543">
        <f>Feb!$G24</f>
        <v>5630395</v>
      </c>
      <c r="W54" s="543">
        <f>Mar!$G24</f>
        <v>4030672</v>
      </c>
      <c r="X54" s="543">
        <f>Apr!$G24</f>
        <v>3448422</v>
      </c>
      <c r="Y54" s="543">
        <f>May!$G24</f>
        <v>1901440</v>
      </c>
      <c r="Z54" s="543">
        <f>Jun!$G24</f>
        <v>1561904</v>
      </c>
      <c r="AA54" s="543">
        <f>Jul!$G24</f>
        <v>1323231</v>
      </c>
      <c r="AB54" s="543">
        <f>Aug!$G24</f>
        <v>1284422</v>
      </c>
      <c r="AC54" s="543">
        <f>Sep!$G24</f>
        <v>1854848</v>
      </c>
      <c r="AD54" s="543">
        <f>Oct!$G25</f>
        <v>2624293</v>
      </c>
      <c r="AE54" s="543">
        <f>Nov!$G25</f>
        <v>5503520</v>
      </c>
      <c r="AF54" s="543">
        <f>Dec!$G24</f>
        <v>0</v>
      </c>
    </row>
    <row r="55" spans="1:38">
      <c r="A55" s="483"/>
      <c r="B55" s="481" t="s">
        <v>39</v>
      </c>
      <c r="C55" s="491">
        <f t="shared" si="36"/>
        <v>0</v>
      </c>
      <c r="D55" s="491">
        <f t="shared" si="35"/>
        <v>0</v>
      </c>
      <c r="E55" s="491">
        <v>0</v>
      </c>
      <c r="F55" s="491">
        <v>0</v>
      </c>
      <c r="G55" s="491">
        <v>0</v>
      </c>
      <c r="H55" s="491">
        <v>0</v>
      </c>
      <c r="I55" s="543">
        <v>0</v>
      </c>
      <c r="J55" s="543">
        <v>0</v>
      </c>
      <c r="K55" s="543">
        <v>0</v>
      </c>
      <c r="L55" s="543">
        <v>0</v>
      </c>
      <c r="M55" s="543">
        <v>0</v>
      </c>
      <c r="N55" s="543">
        <v>0</v>
      </c>
      <c r="O55" s="543">
        <v>0</v>
      </c>
      <c r="P55" s="543">
        <v>0</v>
      </c>
      <c r="Q55" s="543">
        <v>0</v>
      </c>
      <c r="R55" s="543">
        <v>0</v>
      </c>
      <c r="S55" s="543">
        <v>0</v>
      </c>
      <c r="T55" s="543">
        <v>0</v>
      </c>
      <c r="U55" s="543">
        <v>0</v>
      </c>
      <c r="V55" s="543">
        <f>Feb!$G25</f>
        <v>0</v>
      </c>
      <c r="W55" s="543">
        <f>Mar!$G25</f>
        <v>0</v>
      </c>
      <c r="X55" s="543">
        <f>Apr!$G25</f>
        <v>0</v>
      </c>
      <c r="Y55" s="543">
        <f>May!$G25</f>
        <v>0</v>
      </c>
      <c r="Z55" s="543">
        <f>Jun!$G25</f>
        <v>0</v>
      </c>
      <c r="AA55" s="543">
        <f>Jul!$G25</f>
        <v>0</v>
      </c>
      <c r="AB55" s="543">
        <f>Aug!$G25</f>
        <v>0</v>
      </c>
      <c r="AC55" s="543">
        <f>Sep!$G25</f>
        <v>0</v>
      </c>
      <c r="AD55" s="543">
        <f>Oct!$G26</f>
        <v>0</v>
      </c>
      <c r="AE55" s="543">
        <f>Nov!$G26</f>
        <v>0</v>
      </c>
      <c r="AF55" s="543">
        <f>Dec!$G25</f>
        <v>0</v>
      </c>
    </row>
    <row r="56" spans="1:38">
      <c r="A56" s="483"/>
      <c r="B56" s="481" t="s">
        <v>40</v>
      </c>
      <c r="C56" s="491">
        <f t="shared" si="36"/>
        <v>4051936</v>
      </c>
      <c r="D56" s="491">
        <f t="shared" si="35"/>
        <v>4993299</v>
      </c>
      <c r="E56" s="491">
        <v>344046</v>
      </c>
      <c r="F56" s="491">
        <v>595792</v>
      </c>
      <c r="G56" s="491">
        <v>396185</v>
      </c>
      <c r="H56" s="491">
        <v>588721</v>
      </c>
      <c r="I56" s="543">
        <v>534459</v>
      </c>
      <c r="J56" s="543">
        <v>540817</v>
      </c>
      <c r="K56" s="543">
        <v>425342</v>
      </c>
      <c r="L56" s="543">
        <v>407197</v>
      </c>
      <c r="M56" s="543">
        <v>340947</v>
      </c>
      <c r="N56" s="543">
        <v>361843</v>
      </c>
      <c r="O56" s="543">
        <v>251184</v>
      </c>
      <c r="P56" s="543">
        <v>332621</v>
      </c>
      <c r="Q56" s="543">
        <v>330926</v>
      </c>
      <c r="R56" s="543">
        <v>483057</v>
      </c>
      <c r="S56" s="543">
        <v>518418</v>
      </c>
      <c r="T56" s="543">
        <v>377457</v>
      </c>
      <c r="U56" s="543">
        <v>513680</v>
      </c>
      <c r="V56" s="543">
        <f>Feb!$G26</f>
        <v>431734</v>
      </c>
      <c r="W56" s="543">
        <f>Mar!$G26</f>
        <v>335852</v>
      </c>
      <c r="X56" s="543">
        <f>Apr!$G26</f>
        <v>432834</v>
      </c>
      <c r="Y56" s="543">
        <f>May!$G26</f>
        <v>249954</v>
      </c>
      <c r="Z56" s="543">
        <f>Jun!$G26</f>
        <v>322862</v>
      </c>
      <c r="AA56" s="543">
        <f>Jul!$G26</f>
        <v>247078</v>
      </c>
      <c r="AB56" s="543">
        <f>Aug!$G26</f>
        <v>274690</v>
      </c>
      <c r="AC56" s="543">
        <f>Sep!$G26</f>
        <v>336073</v>
      </c>
      <c r="AD56" s="543">
        <f>Oct!$G27</f>
        <v>365802</v>
      </c>
      <c r="AE56" s="543">
        <f>Nov!$G27</f>
        <v>541377</v>
      </c>
      <c r="AF56" s="543">
        <f>Dec!$G26</f>
        <v>0</v>
      </c>
    </row>
    <row r="57" spans="1:38">
      <c r="A57" s="483"/>
      <c r="B57" s="481" t="s">
        <v>41</v>
      </c>
      <c r="C57" s="491">
        <f t="shared" si="36"/>
        <v>504443</v>
      </c>
      <c r="D57" s="491">
        <f t="shared" si="35"/>
        <v>658607</v>
      </c>
      <c r="E57" s="491">
        <v>31388</v>
      </c>
      <c r="F57" s="491">
        <v>40500</v>
      </c>
      <c r="G57" s="491">
        <v>51667</v>
      </c>
      <c r="H57" s="491">
        <v>84319</v>
      </c>
      <c r="I57" s="543">
        <v>95515</v>
      </c>
      <c r="J57" s="543">
        <v>89875</v>
      </c>
      <c r="K57" s="543">
        <v>79687</v>
      </c>
      <c r="L57" s="543">
        <v>48237</v>
      </c>
      <c r="M57" s="543">
        <v>57496</v>
      </c>
      <c r="N57" s="543">
        <v>29984</v>
      </c>
      <c r="O57" s="543">
        <v>36453</v>
      </c>
      <c r="P57" s="543">
        <v>23994</v>
      </c>
      <c r="Q57" s="543">
        <v>27780</v>
      </c>
      <c r="R57" s="543">
        <v>33600</v>
      </c>
      <c r="S57" s="543">
        <v>46503</v>
      </c>
      <c r="T57" s="543">
        <v>74423</v>
      </c>
      <c r="U57" s="543">
        <v>81674</v>
      </c>
      <c r="V57" s="543">
        <f>Feb!$G27</f>
        <v>68846</v>
      </c>
      <c r="W57" s="543">
        <f>Mar!$G27</f>
        <v>57610</v>
      </c>
      <c r="X57" s="543">
        <f>Apr!$G27</f>
        <v>49631</v>
      </c>
      <c r="Y57" s="543">
        <f>May!$G27</f>
        <v>46984</v>
      </c>
      <c r="Z57" s="543">
        <f>Jun!$G27</f>
        <v>30135</v>
      </c>
      <c r="AA57" s="543">
        <f>Jul!$G27</f>
        <v>28317</v>
      </c>
      <c r="AB57" s="543">
        <f>Aug!$G27</f>
        <v>27313</v>
      </c>
      <c r="AC57" s="543">
        <f>Sep!$G27</f>
        <v>29790</v>
      </c>
      <c r="AD57" s="543">
        <f>Oct!$G28</f>
        <v>36487</v>
      </c>
      <c r="AE57" s="543">
        <f>Nov!$G28</f>
        <v>47656</v>
      </c>
      <c r="AF57" s="543">
        <f>Dec!$G27</f>
        <v>0</v>
      </c>
    </row>
    <row r="58" spans="1:38">
      <c r="A58" s="483"/>
      <c r="B58" s="481" t="s">
        <v>42</v>
      </c>
      <c r="C58" s="491">
        <f t="shared" si="36"/>
        <v>0</v>
      </c>
      <c r="D58" s="491">
        <f t="shared" si="35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f>Feb!$G28</f>
        <v>0</v>
      </c>
      <c r="W58" s="543">
        <f>Mar!$G28</f>
        <v>0</v>
      </c>
      <c r="X58" s="543">
        <f>Apr!$G28</f>
        <v>0</v>
      </c>
      <c r="Y58" s="543">
        <f>May!$G28</f>
        <v>0</v>
      </c>
      <c r="Z58" s="543">
        <f>Jun!$G28</f>
        <v>0</v>
      </c>
      <c r="AA58" s="543">
        <f>Jul!$G28</f>
        <v>0</v>
      </c>
      <c r="AB58" s="543">
        <f>Aug!$G28</f>
        <v>0</v>
      </c>
      <c r="AC58" s="543">
        <f>Sep!$G28</f>
        <v>0</v>
      </c>
      <c r="AD58" s="543">
        <f>Oct!$G29</f>
        <v>0</v>
      </c>
      <c r="AE58" s="543">
        <f>Nov!$G29</f>
        <v>0</v>
      </c>
      <c r="AF58" s="543">
        <f>Dec!$G28</f>
        <v>0</v>
      </c>
    </row>
    <row r="59" spans="1:38">
      <c r="A59" s="483"/>
      <c r="B59" s="481" t="s">
        <v>43</v>
      </c>
      <c r="C59" s="491">
        <f t="shared" si="36"/>
        <v>871865</v>
      </c>
      <c r="D59" s="491">
        <f t="shared" si="35"/>
        <v>1097701</v>
      </c>
      <c r="E59" s="491">
        <v>54453</v>
      </c>
      <c r="F59" s="491">
        <v>68629</v>
      </c>
      <c r="G59" s="491">
        <v>142001</v>
      </c>
      <c r="H59" s="491">
        <v>132732</v>
      </c>
      <c r="I59" s="543">
        <v>149468</v>
      </c>
      <c r="J59" s="543">
        <v>140495</v>
      </c>
      <c r="K59" s="543">
        <v>132979</v>
      </c>
      <c r="L59" s="543">
        <v>91026</v>
      </c>
      <c r="M59" s="543">
        <v>83802</v>
      </c>
      <c r="N59" s="543">
        <v>58384</v>
      </c>
      <c r="O59" s="543">
        <v>45870</v>
      </c>
      <c r="P59" s="543">
        <v>32437</v>
      </c>
      <c r="Q59" s="543">
        <v>37881</v>
      </c>
      <c r="R59" s="543">
        <v>50626</v>
      </c>
      <c r="S59" s="543">
        <v>67642</v>
      </c>
      <c r="T59" s="543">
        <v>112489</v>
      </c>
      <c r="U59" s="543">
        <v>129251</v>
      </c>
      <c r="V59" s="543">
        <f>Feb!$G29</f>
        <v>123377</v>
      </c>
      <c r="W59" s="543">
        <f>Mar!$G29</f>
        <v>100117</v>
      </c>
      <c r="X59" s="543">
        <f>Apr!$G29</f>
        <v>81076</v>
      </c>
      <c r="Y59" s="543">
        <f>May!$G29</f>
        <v>83536</v>
      </c>
      <c r="Z59" s="543">
        <f>Jun!$G29</f>
        <v>56511</v>
      </c>
      <c r="AA59" s="543">
        <f>Jul!$G29</f>
        <v>13364</v>
      </c>
      <c r="AB59" s="543">
        <f>Aug!$G29</f>
        <v>68158</v>
      </c>
      <c r="AC59" s="543">
        <f>Sep!$G29</f>
        <v>45470</v>
      </c>
      <c r="AD59" s="543">
        <f>Oct!$G30</f>
        <v>96224</v>
      </c>
      <c r="AE59" s="543">
        <f>Nov!$G30</f>
        <v>74781</v>
      </c>
      <c r="AF59" s="543">
        <f>Dec!$G29</f>
        <v>0</v>
      </c>
    </row>
    <row r="60" spans="1:38">
      <c r="A60" s="483"/>
      <c r="B60" s="481" t="s">
        <v>74</v>
      </c>
      <c r="C60" s="491">
        <f t="shared" si="36"/>
        <v>26235211</v>
      </c>
      <c r="D60" s="491">
        <f t="shared" si="35"/>
        <v>30501971</v>
      </c>
      <c r="E60" s="491">
        <v>1818699</v>
      </c>
      <c r="F60" s="491">
        <v>2531895</v>
      </c>
      <c r="G60" s="491">
        <v>2936207</v>
      </c>
      <c r="H60" s="491">
        <v>3675604</v>
      </c>
      <c r="I60" s="543">
        <v>3517013</v>
      </c>
      <c r="J60" s="543">
        <v>3103551</v>
      </c>
      <c r="K60" s="543">
        <v>2882510</v>
      </c>
      <c r="L60" s="543">
        <v>2426511</v>
      </c>
      <c r="M60" s="543">
        <v>2096539</v>
      </c>
      <c r="N60" s="543">
        <v>1865473</v>
      </c>
      <c r="O60" s="543">
        <v>1934510</v>
      </c>
      <c r="P60" s="543">
        <v>1781233</v>
      </c>
      <c r="Q60" s="543">
        <v>1975142</v>
      </c>
      <c r="R60" s="543">
        <v>2307678</v>
      </c>
      <c r="S60" s="543">
        <v>3052956</v>
      </c>
      <c r="T60" s="543">
        <v>3180451</v>
      </c>
      <c r="U60" s="543">
        <v>3286166</v>
      </c>
      <c r="V60" s="543">
        <f>Feb!$G30</f>
        <v>2735718</v>
      </c>
      <c r="W60" s="543">
        <f>Mar!$G30</f>
        <v>2608561</v>
      </c>
      <c r="X60" s="543">
        <f>Apr!$G30</f>
        <v>2436951</v>
      </c>
      <c r="Y60" s="543">
        <f>May!$G30</f>
        <v>2203136</v>
      </c>
      <c r="Z60" s="543">
        <f>Jun!$G30</f>
        <v>1941783</v>
      </c>
      <c r="AA60" s="543">
        <f>Jul!$G30</f>
        <v>1912819</v>
      </c>
      <c r="AB60" s="543">
        <f>Aug!$G30</f>
        <v>1943542</v>
      </c>
      <c r="AC60" s="543">
        <f>Sep!$G30</f>
        <v>1945064</v>
      </c>
      <c r="AD60" s="543">
        <f>Oct!$G31</f>
        <v>2201297</v>
      </c>
      <c r="AE60" s="543">
        <f>Nov!$G31</f>
        <v>3020174</v>
      </c>
      <c r="AF60" s="543">
        <f>Dec!$G30</f>
        <v>0</v>
      </c>
    </row>
    <row r="61" spans="1:38" ht="16" thickBot="1">
      <c r="A61" s="483"/>
      <c r="B61" s="481" t="s">
        <v>21</v>
      </c>
      <c r="C61" s="542">
        <f t="shared" si="36"/>
        <v>150964902</v>
      </c>
      <c r="D61" s="542">
        <f t="shared" si="35"/>
        <v>202840773</v>
      </c>
      <c r="E61" s="542">
        <f>SUM(E53:E60)</f>
        <v>6495675</v>
      </c>
      <c r="F61" s="542">
        <f>SUM(F53:F60)</f>
        <v>16361170</v>
      </c>
      <c r="G61" s="542">
        <f t="shared" ref="G61:H61" si="37">SUM(G53:G60)</f>
        <v>24248041</v>
      </c>
      <c r="H61" s="542">
        <f t="shared" si="37"/>
        <v>34635509</v>
      </c>
      <c r="I61" s="542">
        <v>32004448</v>
      </c>
      <c r="J61" s="542">
        <v>30962664</v>
      </c>
      <c r="K61" s="542">
        <v>22927995</v>
      </c>
      <c r="L61" s="542">
        <v>14139728</v>
      </c>
      <c r="M61" s="542">
        <v>8453696</v>
      </c>
      <c r="N61" s="542">
        <v>6603119</v>
      </c>
      <c r="O61" s="542">
        <v>5839672</v>
      </c>
      <c r="P61" s="542">
        <v>5582149</v>
      </c>
      <c r="Q61" s="542">
        <v>6839096</v>
      </c>
      <c r="R61" s="542">
        <v>10604656</v>
      </c>
      <c r="S61" s="542">
        <v>25650139</v>
      </c>
      <c r="T61" s="542">
        <v>28846914</v>
      </c>
      <c r="U61" s="542">
        <v>30094197</v>
      </c>
      <c r="V61" s="542">
        <f t="shared" ref="V61:AF61" si="38">SUM(V53:V60)</f>
        <v>22001617</v>
      </c>
      <c r="W61" s="542">
        <f t="shared" si="38"/>
        <v>17611817</v>
      </c>
      <c r="X61" s="542">
        <f t="shared" si="38"/>
        <v>14163392</v>
      </c>
      <c r="Y61" s="542">
        <f t="shared" si="38"/>
        <v>7782410</v>
      </c>
      <c r="Z61" s="542">
        <f t="shared" si="38"/>
        <v>5881684</v>
      </c>
      <c r="AA61" s="542">
        <f t="shared" si="38"/>
        <v>5669948</v>
      </c>
      <c r="AB61" s="542">
        <f t="shared" si="38"/>
        <v>5554978</v>
      </c>
      <c r="AC61" s="542">
        <f t="shared" si="38"/>
        <v>7484702</v>
      </c>
      <c r="AD61" s="542">
        <f t="shared" si="38"/>
        <v>10157621</v>
      </c>
      <c r="AE61" s="542">
        <f t="shared" si="38"/>
        <v>24562536</v>
      </c>
      <c r="AF61" s="542">
        <f t="shared" si="38"/>
        <v>0</v>
      </c>
    </row>
    <row r="62" spans="1:38" ht="16" thickTop="1">
      <c r="A62" s="483"/>
      <c r="B62" s="481" t="s">
        <v>269</v>
      </c>
      <c r="C62" s="491">
        <f>SUM(U62:AF62)</f>
        <v>108760043</v>
      </c>
      <c r="D62" s="491">
        <f t="shared" si="35"/>
        <v>202840773</v>
      </c>
      <c r="E62" s="491">
        <v>6495675</v>
      </c>
      <c r="F62" s="491">
        <v>16361170</v>
      </c>
      <c r="G62" s="491">
        <v>24248041</v>
      </c>
      <c r="H62" s="491">
        <v>34635509</v>
      </c>
      <c r="I62" s="491">
        <v>32004448</v>
      </c>
      <c r="J62" s="491">
        <v>30962664</v>
      </c>
      <c r="K62" s="491">
        <v>22927995</v>
      </c>
      <c r="L62" s="491">
        <v>14139728</v>
      </c>
      <c r="M62" s="491">
        <v>8453696</v>
      </c>
      <c r="N62" s="491">
        <v>6603119</v>
      </c>
      <c r="O62" s="491">
        <v>5839672</v>
      </c>
      <c r="P62" s="491">
        <v>5582149</v>
      </c>
      <c r="Q62" s="491">
        <v>6839096</v>
      </c>
      <c r="R62" s="491">
        <v>10604656</v>
      </c>
      <c r="S62" s="491">
        <v>25650139</v>
      </c>
      <c r="T62" s="491">
        <v>28846914</v>
      </c>
      <c r="U62" s="491">
        <v>30094197</v>
      </c>
      <c r="V62" s="491">
        <v>22001617</v>
      </c>
      <c r="W62" s="491">
        <f>Mar!G32</f>
        <v>17611817</v>
      </c>
      <c r="X62" s="491">
        <v>14163392</v>
      </c>
      <c r="Y62" s="491">
        <v>7782410</v>
      </c>
      <c r="Z62" s="491">
        <v>5881684</v>
      </c>
      <c r="AA62" s="491">
        <v>5669948</v>
      </c>
      <c r="AB62" s="687">
        <v>5554978</v>
      </c>
      <c r="AC62" s="491"/>
      <c r="AD62" s="491"/>
      <c r="AE62" s="491"/>
      <c r="AF62" s="491"/>
      <c r="AG62" s="491"/>
    </row>
    <row r="63" spans="1:38">
      <c r="A63" s="483" t="s">
        <v>22</v>
      </c>
      <c r="E63" s="535"/>
      <c r="F63" s="535"/>
      <c r="G63" s="535"/>
      <c r="H63" s="535"/>
      <c r="I63" s="535"/>
      <c r="J63" s="535"/>
      <c r="K63" s="535"/>
      <c r="L63" s="535"/>
      <c r="M63" s="535"/>
      <c r="N63" s="535"/>
      <c r="O63" s="535"/>
      <c r="P63" s="535"/>
      <c r="Q63" s="535"/>
      <c r="R63" s="535"/>
      <c r="S63" s="535"/>
      <c r="T63" s="535"/>
      <c r="U63" s="535"/>
      <c r="V63" s="535"/>
      <c r="W63" s="535"/>
      <c r="X63" s="535"/>
      <c r="Y63" s="535"/>
      <c r="Z63" s="535"/>
      <c r="AA63" s="535"/>
      <c r="AB63" s="535"/>
      <c r="AC63" s="535"/>
      <c r="AD63" s="535"/>
      <c r="AE63" s="535"/>
      <c r="AF63" s="535"/>
      <c r="AI63" s="539"/>
    </row>
    <row r="64" spans="1:38">
      <c r="A64" s="484">
        <v>191025</v>
      </c>
      <c r="B64" s="485" t="s">
        <v>256</v>
      </c>
      <c r="E64" s="484">
        <v>201309</v>
      </c>
      <c r="F64" s="484">
        <f>E64+1</f>
        <v>201310</v>
      </c>
      <c r="G64" s="484">
        <f>F64+1</f>
        <v>201311</v>
      </c>
      <c r="H64" s="484">
        <f>G64+1</f>
        <v>201312</v>
      </c>
      <c r="I64" s="484">
        <v>201401</v>
      </c>
      <c r="J64" s="484">
        <v>201402</v>
      </c>
      <c r="K64" s="484">
        <v>201403</v>
      </c>
      <c r="L64" s="484">
        <v>201404</v>
      </c>
      <c r="M64" s="484">
        <v>201405</v>
      </c>
      <c r="N64" s="484">
        <v>201406</v>
      </c>
      <c r="O64" s="484">
        <v>201407</v>
      </c>
      <c r="P64" s="484">
        <v>201408</v>
      </c>
      <c r="Q64" s="484">
        <v>201409</v>
      </c>
      <c r="R64" s="484">
        <v>201410</v>
      </c>
      <c r="S64" s="484">
        <v>201411</v>
      </c>
      <c r="T64" s="484">
        <v>201412</v>
      </c>
      <c r="U64" s="484">
        <v>201501</v>
      </c>
      <c r="V64" s="484">
        <f t="shared" ref="V64:AD64" si="39">U64+1</f>
        <v>201502</v>
      </c>
      <c r="W64" s="484">
        <f t="shared" si="39"/>
        <v>201503</v>
      </c>
      <c r="X64" s="484">
        <f t="shared" si="39"/>
        <v>201504</v>
      </c>
      <c r="Y64" s="484">
        <f t="shared" si="39"/>
        <v>201505</v>
      </c>
      <c r="Z64" s="484">
        <f t="shared" si="39"/>
        <v>201506</v>
      </c>
      <c r="AA64" s="484">
        <f t="shared" si="39"/>
        <v>201507</v>
      </c>
      <c r="AB64" s="484">
        <f t="shared" si="39"/>
        <v>201508</v>
      </c>
      <c r="AC64" s="484">
        <f t="shared" si="39"/>
        <v>201509</v>
      </c>
      <c r="AD64" s="484">
        <f t="shared" si="39"/>
        <v>201510</v>
      </c>
      <c r="AE64" s="484">
        <f>AD64+1</f>
        <v>201511</v>
      </c>
      <c r="AF64" s="484">
        <f t="shared" ref="AF64" si="40">AE64+1</f>
        <v>201512</v>
      </c>
    </row>
    <row r="65" spans="1:39">
      <c r="A65" s="483"/>
      <c r="B65" s="481" t="s">
        <v>37</v>
      </c>
      <c r="E65" s="492">
        <v>-2.1900000000000001E-3</v>
      </c>
      <c r="F65" s="492">
        <v>-2.1900000000000001E-3</v>
      </c>
      <c r="G65" s="496" t="s">
        <v>270</v>
      </c>
      <c r="H65" s="496" t="s">
        <v>270</v>
      </c>
      <c r="I65" s="492">
        <v>-3.8999999999999999E-4</v>
      </c>
      <c r="J65" s="492">
        <v>-3.8999999999999999E-4</v>
      </c>
      <c r="K65" s="492">
        <v>-3.8999999999999999E-4</v>
      </c>
      <c r="L65" s="492">
        <v>-3.8999999999999999E-4</v>
      </c>
      <c r="M65" s="492">
        <v>-3.8999999999999999E-4</v>
      </c>
      <c r="N65" s="492">
        <v>-3.8999999999999999E-4</v>
      </c>
      <c r="O65" s="492">
        <v>-3.8999999999999999E-4</v>
      </c>
      <c r="P65" s="492">
        <v>-3.8999999999999999E-4</v>
      </c>
      <c r="Q65" s="492">
        <v>-3.8999999999999999E-4</v>
      </c>
      <c r="R65" s="492">
        <v>-3.8999999999999999E-4</v>
      </c>
      <c r="S65" s="496" t="s">
        <v>270</v>
      </c>
      <c r="T65" s="496" t="s">
        <v>270</v>
      </c>
      <c r="U65" s="492">
        <v>2.5000000000000001E-4</v>
      </c>
      <c r="V65" s="492">
        <v>2.5000000000000001E-4</v>
      </c>
      <c r="W65" s="492">
        <v>2.5000000000000001E-4</v>
      </c>
      <c r="X65" s="492">
        <v>2.5000000000000001E-4</v>
      </c>
      <c r="Y65" s="492">
        <v>2.5000000000000001E-4</v>
      </c>
      <c r="Z65" s="492">
        <v>2.5000000000000001E-4</v>
      </c>
      <c r="AA65" s="492">
        <v>2.5000000000000001E-4</v>
      </c>
      <c r="AB65" s="492">
        <v>2.5000000000000001E-4</v>
      </c>
      <c r="AC65" s="492">
        <v>2.5000000000000001E-4</v>
      </c>
      <c r="AD65" s="492">
        <v>2.5000000000000001E-4</v>
      </c>
      <c r="AE65" s="496" t="s">
        <v>270</v>
      </c>
      <c r="AF65" s="496" t="s">
        <v>270</v>
      </c>
    </row>
    <row r="66" spans="1:39">
      <c r="A66" s="483"/>
      <c r="B66" s="481" t="s">
        <v>38</v>
      </c>
      <c r="E66" s="492">
        <v>-2.1900000000000001E-3</v>
      </c>
      <c r="F66" s="492">
        <v>-2.1900000000000001E-3</v>
      </c>
      <c r="G66" s="496" t="s">
        <v>270</v>
      </c>
      <c r="H66" s="496" t="s">
        <v>270</v>
      </c>
      <c r="I66" s="492">
        <v>-3.8999999999999999E-4</v>
      </c>
      <c r="J66" s="492">
        <v>-3.8999999999999999E-4</v>
      </c>
      <c r="K66" s="492">
        <v>-3.8999999999999999E-4</v>
      </c>
      <c r="L66" s="492">
        <v>-3.8999999999999999E-4</v>
      </c>
      <c r="M66" s="492">
        <v>-3.8999999999999999E-4</v>
      </c>
      <c r="N66" s="492">
        <v>-3.8999999999999999E-4</v>
      </c>
      <c r="O66" s="492">
        <v>-3.8999999999999999E-4</v>
      </c>
      <c r="P66" s="492">
        <v>-3.8999999999999999E-4</v>
      </c>
      <c r="Q66" s="492">
        <v>-3.8999999999999999E-4</v>
      </c>
      <c r="R66" s="492">
        <v>-3.8999999999999999E-4</v>
      </c>
      <c r="S66" s="496" t="s">
        <v>270</v>
      </c>
      <c r="T66" s="496" t="s">
        <v>270</v>
      </c>
      <c r="U66" s="492">
        <v>2.5000000000000001E-4</v>
      </c>
      <c r="V66" s="492">
        <v>2.5000000000000001E-4</v>
      </c>
      <c r="W66" s="492">
        <v>2.5000000000000001E-4</v>
      </c>
      <c r="X66" s="492">
        <v>2.5000000000000001E-4</v>
      </c>
      <c r="Y66" s="492">
        <v>2.5000000000000001E-4</v>
      </c>
      <c r="Z66" s="492">
        <v>2.5000000000000001E-4</v>
      </c>
      <c r="AA66" s="492">
        <v>2.5000000000000001E-4</v>
      </c>
      <c r="AB66" s="492">
        <v>2.5000000000000001E-4</v>
      </c>
      <c r="AC66" s="492">
        <v>2.5000000000000001E-4</v>
      </c>
      <c r="AD66" s="492">
        <v>2.5000000000000001E-4</v>
      </c>
      <c r="AE66" s="496" t="s">
        <v>270</v>
      </c>
      <c r="AF66" s="496" t="s">
        <v>270</v>
      </c>
    </row>
    <row r="67" spans="1:39">
      <c r="A67" s="483"/>
      <c r="B67" s="481" t="s">
        <v>39</v>
      </c>
      <c r="E67" s="492">
        <v>-2.1900000000000001E-3</v>
      </c>
      <c r="F67" s="492">
        <v>-2.1900000000000001E-3</v>
      </c>
      <c r="G67" s="496" t="s">
        <v>270</v>
      </c>
      <c r="H67" s="496" t="s">
        <v>270</v>
      </c>
      <c r="I67" s="492">
        <v>-3.8999999999999999E-4</v>
      </c>
      <c r="J67" s="492">
        <v>-3.8999999999999999E-4</v>
      </c>
      <c r="K67" s="492">
        <v>-3.8999999999999999E-4</v>
      </c>
      <c r="L67" s="492">
        <v>-3.8999999999999999E-4</v>
      </c>
      <c r="M67" s="492">
        <v>-3.8999999999999999E-4</v>
      </c>
      <c r="N67" s="492">
        <v>-3.8999999999999999E-4</v>
      </c>
      <c r="O67" s="492">
        <v>-3.8999999999999999E-4</v>
      </c>
      <c r="P67" s="492">
        <v>-3.8999999999999999E-4</v>
      </c>
      <c r="Q67" s="492">
        <v>-3.8999999999999999E-4</v>
      </c>
      <c r="R67" s="492">
        <v>-3.8999999999999999E-4</v>
      </c>
      <c r="S67" s="496" t="s">
        <v>270</v>
      </c>
      <c r="T67" s="496" t="s">
        <v>270</v>
      </c>
      <c r="U67" s="492">
        <v>2.5000000000000001E-4</v>
      </c>
      <c r="V67" s="492">
        <v>2.5000000000000001E-4</v>
      </c>
      <c r="W67" s="492">
        <v>2.5000000000000001E-4</v>
      </c>
      <c r="X67" s="492">
        <v>2.5000000000000001E-4</v>
      </c>
      <c r="Y67" s="492">
        <v>2.5000000000000001E-4</v>
      </c>
      <c r="Z67" s="492">
        <v>2.5000000000000001E-4</v>
      </c>
      <c r="AA67" s="492">
        <v>2.5000000000000001E-4</v>
      </c>
      <c r="AB67" s="492">
        <v>2.5000000000000001E-4</v>
      </c>
      <c r="AC67" s="492">
        <v>2.5000000000000001E-4</v>
      </c>
      <c r="AD67" s="492">
        <v>2.5000000000000001E-4</v>
      </c>
      <c r="AE67" s="496" t="s">
        <v>270</v>
      </c>
      <c r="AF67" s="496" t="s">
        <v>270</v>
      </c>
    </row>
    <row r="68" spans="1:39">
      <c r="A68" s="483"/>
      <c r="B68" s="481" t="s">
        <v>40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270</v>
      </c>
      <c r="AF68" s="496" t="s">
        <v>270</v>
      </c>
    </row>
    <row r="69" spans="1:39">
      <c r="A69" s="483"/>
      <c r="B69" s="481" t="s">
        <v>41</v>
      </c>
      <c r="E69" s="492">
        <v>-2.1900000000000001E-3</v>
      </c>
      <c r="F69" s="492">
        <v>-2.1900000000000001E-3</v>
      </c>
      <c r="G69" s="496" t="s">
        <v>270</v>
      </c>
      <c r="H69" s="496" t="s">
        <v>270</v>
      </c>
      <c r="I69" s="492">
        <v>-3.8999999999999999E-4</v>
      </c>
      <c r="J69" s="492">
        <v>-3.8999999999999999E-4</v>
      </c>
      <c r="K69" s="492">
        <v>-3.8999999999999999E-4</v>
      </c>
      <c r="L69" s="492">
        <v>-3.8999999999999999E-4</v>
      </c>
      <c r="M69" s="492">
        <v>-3.8999999999999999E-4</v>
      </c>
      <c r="N69" s="492">
        <v>-3.8999999999999999E-4</v>
      </c>
      <c r="O69" s="492">
        <v>-3.8999999999999999E-4</v>
      </c>
      <c r="P69" s="492">
        <v>-3.8999999999999999E-4</v>
      </c>
      <c r="Q69" s="492">
        <v>-3.8999999999999999E-4</v>
      </c>
      <c r="R69" s="492">
        <v>-3.8999999999999999E-4</v>
      </c>
      <c r="S69" s="496" t="s">
        <v>270</v>
      </c>
      <c r="T69" s="496" t="s">
        <v>270</v>
      </c>
      <c r="U69" s="492">
        <v>2.5000000000000001E-4</v>
      </c>
      <c r="V69" s="492">
        <v>2.5000000000000001E-4</v>
      </c>
      <c r="W69" s="492">
        <v>2.5000000000000001E-4</v>
      </c>
      <c r="X69" s="492">
        <v>2.5000000000000001E-4</v>
      </c>
      <c r="Y69" s="492">
        <v>2.5000000000000001E-4</v>
      </c>
      <c r="Z69" s="492">
        <v>2.5000000000000001E-4</v>
      </c>
      <c r="AA69" s="492">
        <v>2.5000000000000001E-4</v>
      </c>
      <c r="AB69" s="492">
        <v>2.5000000000000001E-4</v>
      </c>
      <c r="AC69" s="492">
        <v>2.5000000000000001E-4</v>
      </c>
      <c r="AD69" s="492">
        <v>2.5000000000000001E-4</v>
      </c>
      <c r="AE69" s="496" t="s">
        <v>270</v>
      </c>
      <c r="AF69" s="496" t="s">
        <v>270</v>
      </c>
    </row>
    <row r="70" spans="1:39" ht="16" thickBot="1">
      <c r="A70" s="483"/>
      <c r="B70" s="481" t="s">
        <v>42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270</v>
      </c>
      <c r="AF70" s="496" t="s">
        <v>270</v>
      </c>
    </row>
    <row r="71" spans="1:39" ht="16" thickBot="1">
      <c r="A71" s="483"/>
      <c r="B71" s="481" t="s">
        <v>43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270</v>
      </c>
      <c r="AF71" s="496" t="s">
        <v>270</v>
      </c>
      <c r="AH71" s="522">
        <f>AH4</f>
        <v>201508</v>
      </c>
      <c r="AI71" s="531"/>
      <c r="AJ71" s="523"/>
      <c r="AK71" s="523"/>
      <c r="AL71" s="523"/>
      <c r="AM71" s="524"/>
    </row>
    <row r="72" spans="1:39">
      <c r="A72" s="483"/>
      <c r="B72" s="481" t="s">
        <v>74</v>
      </c>
      <c r="E72" s="492">
        <v>-2.0000000000000001E-4</v>
      </c>
      <c r="F72" s="492">
        <v>-2.0000000000000001E-4</v>
      </c>
      <c r="G72" s="496" t="s">
        <v>270</v>
      </c>
      <c r="H72" s="496" t="s">
        <v>270</v>
      </c>
      <c r="I72" s="492">
        <v>-4.0000000000000003E-5</v>
      </c>
      <c r="J72" s="492">
        <v>-4.0000000000000003E-5</v>
      </c>
      <c r="K72" s="492">
        <v>-4.0000000000000003E-5</v>
      </c>
      <c r="L72" s="492">
        <v>-4.0000000000000003E-5</v>
      </c>
      <c r="M72" s="492">
        <v>-4.0000000000000003E-5</v>
      </c>
      <c r="N72" s="492">
        <v>-4.0000000000000003E-5</v>
      </c>
      <c r="O72" s="492">
        <v>-4.0000000000000003E-5</v>
      </c>
      <c r="P72" s="492">
        <v>-4.0000000000000003E-5</v>
      </c>
      <c r="Q72" s="492">
        <v>-4.0000000000000003E-5</v>
      </c>
      <c r="R72" s="492">
        <v>-4.0000000000000003E-5</v>
      </c>
      <c r="S72" s="496" t="s">
        <v>270</v>
      </c>
      <c r="T72" s="496" t="s">
        <v>270</v>
      </c>
      <c r="U72" s="492">
        <v>4.0000000000000003E-5</v>
      </c>
      <c r="V72" s="492">
        <v>4.0000000000000003E-5</v>
      </c>
      <c r="W72" s="492">
        <v>4.0000000000000003E-5</v>
      </c>
      <c r="X72" s="492">
        <v>4.0000000000000003E-5</v>
      </c>
      <c r="Y72" s="492">
        <v>4.0000000000000003E-5</v>
      </c>
      <c r="Z72" s="492">
        <v>4.0000000000000003E-5</v>
      </c>
      <c r="AA72" s="492">
        <v>4.0000000000000003E-5</v>
      </c>
      <c r="AB72" s="492">
        <v>4.0000000000000003E-5</v>
      </c>
      <c r="AC72" s="492">
        <v>4.0000000000000003E-5</v>
      </c>
      <c r="AD72" s="492">
        <v>4.0000000000000003E-5</v>
      </c>
      <c r="AE72" s="496" t="s">
        <v>270</v>
      </c>
      <c r="AF72" s="496" t="s">
        <v>270</v>
      </c>
      <c r="AH72" s="499" t="s">
        <v>302</v>
      </c>
      <c r="AI72" s="528">
        <v>191025</v>
      </c>
      <c r="AJ72" s="358" t="s">
        <v>288</v>
      </c>
      <c r="AK72" s="358" t="s">
        <v>289</v>
      </c>
      <c r="AL72" s="381">
        <f>IF((SUMIF(U74:AF74,AH71,U76:AF76))&gt;0,(SUMIF(U74:AF74,AH71,U76:AF76)),0)</f>
        <v>980.60068000000001</v>
      </c>
      <c r="AM72" s="500">
        <f>IF((SUMIF(U74:AF74,AH71,U76:AF76))&lt;0,-(SUMIF(U74:AF74,AH71,U76:AF76)),0)</f>
        <v>0</v>
      </c>
    </row>
    <row r="73" spans="1:39">
      <c r="A73" s="483" t="s">
        <v>293</v>
      </c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92"/>
      <c r="Y73" s="492"/>
      <c r="Z73" s="492"/>
      <c r="AA73" s="492"/>
      <c r="AB73" s="492"/>
      <c r="AC73" s="492"/>
      <c r="AD73" s="492"/>
      <c r="AE73" s="492"/>
      <c r="AF73" s="492"/>
      <c r="AH73" s="499" t="s">
        <v>303</v>
      </c>
      <c r="AI73" s="528">
        <v>805110</v>
      </c>
      <c r="AJ73" s="358" t="s">
        <v>288</v>
      </c>
      <c r="AK73" s="358" t="s">
        <v>289</v>
      </c>
      <c r="AL73" s="381">
        <f>IF((SUMIF(U74:AF74,AH71,U76:AF76))&lt;0,-(SUMIF(U74:AF74,AH71,U76:AF76)),0)</f>
        <v>0</v>
      </c>
      <c r="AM73" s="500">
        <f>IF((SUMIF(U74:AF74,AH71,U76:AF76))&gt;0,(SUMIF(U74:AF74,AH71,U76:AF76)),0)</f>
        <v>980.60068000000001</v>
      </c>
    </row>
    <row r="74" spans="1:39" s="483" customFormat="1">
      <c r="A74" s="484">
        <v>191025</v>
      </c>
      <c r="B74" s="485" t="s">
        <v>256</v>
      </c>
      <c r="C74" s="486" t="s">
        <v>251</v>
      </c>
      <c r="D74" s="688" t="s">
        <v>252</v>
      </c>
      <c r="E74" s="484">
        <v>201309</v>
      </c>
      <c r="F74" s="484">
        <f>E74+1</f>
        <v>201310</v>
      </c>
      <c r="G74" s="484">
        <f>F74+1</f>
        <v>201311</v>
      </c>
      <c r="H74" s="484">
        <f>G74+1</f>
        <v>201312</v>
      </c>
      <c r="I74" s="484">
        <v>201401</v>
      </c>
      <c r="J74" s="484">
        <v>201402</v>
      </c>
      <c r="K74" s="484">
        <v>201403</v>
      </c>
      <c r="L74" s="484">
        <v>201404</v>
      </c>
      <c r="M74" s="484">
        <v>201405</v>
      </c>
      <c r="N74" s="484">
        <v>201406</v>
      </c>
      <c r="O74" s="484">
        <v>201407</v>
      </c>
      <c r="P74" s="484">
        <v>201408</v>
      </c>
      <c r="Q74" s="484">
        <v>201409</v>
      </c>
      <c r="R74" s="484">
        <v>201410</v>
      </c>
      <c r="S74" s="484">
        <v>201411</v>
      </c>
      <c r="T74" s="484">
        <v>201412</v>
      </c>
      <c r="U74" s="484">
        <v>201501</v>
      </c>
      <c r="V74" s="484">
        <f t="shared" ref="V74:AD74" si="41">U74+1</f>
        <v>201502</v>
      </c>
      <c r="W74" s="484">
        <f t="shared" si="41"/>
        <v>201503</v>
      </c>
      <c r="X74" s="484">
        <f t="shared" si="41"/>
        <v>201504</v>
      </c>
      <c r="Y74" s="484">
        <f t="shared" si="41"/>
        <v>201505</v>
      </c>
      <c r="Z74" s="484">
        <f t="shared" si="41"/>
        <v>201506</v>
      </c>
      <c r="AA74" s="484">
        <f t="shared" si="41"/>
        <v>201507</v>
      </c>
      <c r="AB74" s="484">
        <f t="shared" si="41"/>
        <v>201508</v>
      </c>
      <c r="AC74" s="484">
        <f t="shared" si="41"/>
        <v>201509</v>
      </c>
      <c r="AD74" s="484">
        <f t="shared" si="41"/>
        <v>201510</v>
      </c>
      <c r="AE74" s="484">
        <f>AD74+1</f>
        <v>201511</v>
      </c>
      <c r="AF74" s="484">
        <f t="shared" ref="AF74" si="42">AE74+1</f>
        <v>201512</v>
      </c>
      <c r="AH74" s="499" t="s">
        <v>273</v>
      </c>
      <c r="AI74" s="528"/>
      <c r="AJ74" s="358"/>
      <c r="AK74" s="358"/>
      <c r="AL74" s="381">
        <v>0</v>
      </c>
      <c r="AM74" s="500">
        <v>0</v>
      </c>
    </row>
    <row r="75" spans="1:39" ht="16" thickBot="1">
      <c r="A75" s="493"/>
      <c r="B75" s="481" t="s">
        <v>253</v>
      </c>
      <c r="E75" s="482">
        <v>49539.047030000002</v>
      </c>
      <c r="F75" s="482">
        <f>E78</f>
        <v>38932.729789999998</v>
      </c>
      <c r="G75" s="482">
        <f>F78</f>
        <v>8140.2385399999985</v>
      </c>
      <c r="H75" s="482">
        <f>G78</f>
        <v>-693.68146000000161</v>
      </c>
      <c r="I75" s="482">
        <v>-13695.721460000002</v>
      </c>
      <c r="J75" s="482">
        <v>-24946.501630000002</v>
      </c>
      <c r="K75" s="482">
        <v>-35935.697740000003</v>
      </c>
      <c r="L75" s="482">
        <v>-43868.737290000005</v>
      </c>
      <c r="M75" s="482">
        <v>-48533.952360000003</v>
      </c>
      <c r="N75" s="482">
        <v>-51097.105150000003</v>
      </c>
      <c r="O75" s="482">
        <v>-53019.406010000006</v>
      </c>
      <c r="P75" s="482">
        <v>-54619.79959000001</v>
      </c>
      <c r="Q75" s="482">
        <v>-56173.40615000001</v>
      </c>
      <c r="R75" s="482">
        <v>-58149.353890000013</v>
      </c>
      <c r="S75" s="482">
        <v>-61477.482430000011</v>
      </c>
      <c r="T75" s="482">
        <v>-56200.445640000013</v>
      </c>
      <c r="U75" s="482">
        <v>-49897.475640000011</v>
      </c>
      <c r="V75" s="482">
        <f>U78</f>
        <v>-43064.021250000013</v>
      </c>
      <c r="W75" s="482">
        <f t="shared" ref="W75:AD75" si="43">V78</f>
        <v>-38138.117780000015</v>
      </c>
      <c r="X75" s="482">
        <f t="shared" si="43"/>
        <v>-34282.961340000016</v>
      </c>
      <c r="Y75" s="482">
        <f t="shared" si="43"/>
        <v>-31253.873050000017</v>
      </c>
      <c r="Z75" s="482">
        <f t="shared" si="43"/>
        <v>-29770.929110000015</v>
      </c>
      <c r="AA75" s="482">
        <f t="shared" si="43"/>
        <v>-28708.282540000015</v>
      </c>
      <c r="AB75" s="482">
        <f t="shared" si="43"/>
        <v>-27692.487530000013</v>
      </c>
      <c r="AC75" s="482">
        <f t="shared" si="43"/>
        <v>-26711.886850000014</v>
      </c>
      <c r="AD75" s="482">
        <f t="shared" si="43"/>
        <v>-25249.174790000012</v>
      </c>
      <c r="AE75" s="482">
        <f>AD78</f>
        <v>-23172.041910000011</v>
      </c>
      <c r="AF75" s="482">
        <f>AE78</f>
        <v>-23172.041910000011</v>
      </c>
      <c r="AH75" s="501" t="s">
        <v>273</v>
      </c>
      <c r="AI75" s="529"/>
      <c r="AJ75" s="502"/>
      <c r="AK75" s="502"/>
      <c r="AL75" s="503">
        <v>0</v>
      </c>
      <c r="AM75" s="521">
        <v>0</v>
      </c>
    </row>
    <row r="76" spans="1:39" ht="16" thickBot="1">
      <c r="B76" s="481" t="s">
        <v>23</v>
      </c>
      <c r="C76" s="482">
        <f>SUM(U76:AF76)</f>
        <v>26725.433730000008</v>
      </c>
      <c r="D76" s="494">
        <f>SUM(G76:R76)</f>
        <v>-69617.720970000009</v>
      </c>
      <c r="E76" s="482">
        <f>SUMPRODUCT(E53:E60,E65:E72)</f>
        <v>-10606.31724</v>
      </c>
      <c r="F76" s="482">
        <f>SUMPRODUCT(F53:F60,F65:F72)</f>
        <v>-30792.491249999999</v>
      </c>
      <c r="G76" s="482">
        <v>-8833.92</v>
      </c>
      <c r="H76" s="482">
        <v>-13002.04</v>
      </c>
      <c r="I76" s="482">
        <v>-11250.78017</v>
      </c>
      <c r="J76" s="482">
        <v>-10989.196110000001</v>
      </c>
      <c r="K76" s="482">
        <v>-7933.0395500000013</v>
      </c>
      <c r="L76" s="482">
        <v>-4665.2150699999993</v>
      </c>
      <c r="M76" s="482">
        <v>-2563.1527899999996</v>
      </c>
      <c r="N76" s="482">
        <v>-1922.3008600000003</v>
      </c>
      <c r="O76" s="482">
        <v>-1600.3935799999999</v>
      </c>
      <c r="P76" s="482">
        <v>-1553.6065599999997</v>
      </c>
      <c r="Q76" s="482">
        <v>-1975.9477400000001</v>
      </c>
      <c r="R76" s="482">
        <v>-3328.1285399999992</v>
      </c>
      <c r="S76" s="557">
        <v>5277.0367900000001</v>
      </c>
      <c r="T76" s="557">
        <v>6302.97</v>
      </c>
      <c r="U76" s="482">
        <v>6833.4543899999999</v>
      </c>
      <c r="V76" s="482">
        <f t="shared" ref="V76:AD76" si="44">SUMPRODUCT(V53:V60,V65:V72)</f>
        <v>4925.9034700000011</v>
      </c>
      <c r="W76" s="482">
        <f t="shared" si="44"/>
        <v>3855.1564400000007</v>
      </c>
      <c r="X76" s="482">
        <f t="shared" si="44"/>
        <v>3029.0882899999997</v>
      </c>
      <c r="Y76" s="482">
        <f t="shared" si="44"/>
        <v>1482.9439400000001</v>
      </c>
      <c r="Z76" s="482">
        <f t="shared" si="44"/>
        <v>1062.6465700000001</v>
      </c>
      <c r="AA76" s="482">
        <f t="shared" si="44"/>
        <v>1015.7950099999999</v>
      </c>
      <c r="AB76" s="482">
        <f t="shared" si="44"/>
        <v>980.60068000000001</v>
      </c>
      <c r="AC76" s="482">
        <f t="shared" si="44"/>
        <v>1462.7120600000003</v>
      </c>
      <c r="AD76" s="482">
        <f t="shared" si="44"/>
        <v>2077.1328800000001</v>
      </c>
      <c r="AE76" s="563"/>
      <c r="AF76" s="563"/>
      <c r="AH76" s="516"/>
      <c r="AI76" s="530"/>
      <c r="AJ76" s="517"/>
      <c r="AK76" s="517"/>
      <c r="AL76" s="517" t="s">
        <v>159</v>
      </c>
      <c r="AM76" s="518">
        <f>SUM(AL72:AL75)-SUM(AM72:AM75)</f>
        <v>0</v>
      </c>
    </row>
    <row r="77" spans="1:39">
      <c r="B77" s="481" t="s">
        <v>148</v>
      </c>
      <c r="C77" s="482">
        <f>SUM(I77:T77)</f>
        <v>0</v>
      </c>
      <c r="E77" s="482">
        <v>0</v>
      </c>
      <c r="F77" s="482">
        <v>0</v>
      </c>
      <c r="G77" s="482">
        <v>0</v>
      </c>
      <c r="H77" s="482">
        <v>0</v>
      </c>
      <c r="I77" s="482">
        <v>0</v>
      </c>
      <c r="J77" s="482">
        <v>0</v>
      </c>
      <c r="K77" s="482">
        <v>0</v>
      </c>
      <c r="L77" s="482">
        <v>0</v>
      </c>
      <c r="M77" s="482">
        <v>0</v>
      </c>
      <c r="N77" s="482">
        <v>0</v>
      </c>
      <c r="O77" s="482">
        <v>0</v>
      </c>
      <c r="P77" s="482">
        <v>0</v>
      </c>
      <c r="Q77" s="482">
        <v>0</v>
      </c>
      <c r="R77" s="482">
        <v>0</v>
      </c>
      <c r="S77" s="482">
        <v>0</v>
      </c>
      <c r="T77" s="482">
        <v>0</v>
      </c>
      <c r="U77" s="482">
        <v>0</v>
      </c>
      <c r="V77" s="482">
        <v>0</v>
      </c>
      <c r="W77" s="482">
        <v>0</v>
      </c>
      <c r="X77" s="482">
        <v>0</v>
      </c>
      <c r="Y77" s="482">
        <v>0</v>
      </c>
      <c r="Z77" s="482">
        <v>0</v>
      </c>
      <c r="AA77" s="482">
        <v>0</v>
      </c>
      <c r="AB77" s="482">
        <v>0</v>
      </c>
      <c r="AC77" s="482">
        <v>0</v>
      </c>
      <c r="AD77" s="482">
        <v>0</v>
      </c>
      <c r="AE77" s="482">
        <v>0</v>
      </c>
      <c r="AF77" s="482">
        <v>0</v>
      </c>
    </row>
    <row r="78" spans="1:39" ht="16" thickBot="1">
      <c r="B78" s="481" t="s">
        <v>56</v>
      </c>
      <c r="C78" s="541">
        <f>SUM(C76:C77)</f>
        <v>26725.433730000008</v>
      </c>
      <c r="D78" s="541"/>
      <c r="E78" s="541">
        <f t="shared" ref="E78:H78" si="45">SUM(E75:E77)</f>
        <v>38932.729789999998</v>
      </c>
      <c r="F78" s="541">
        <f t="shared" si="45"/>
        <v>8140.2385399999985</v>
      </c>
      <c r="G78" s="541">
        <f t="shared" si="45"/>
        <v>-693.68146000000161</v>
      </c>
      <c r="H78" s="541">
        <f t="shared" si="45"/>
        <v>-13695.721460000002</v>
      </c>
      <c r="I78" s="541">
        <v>-24946.501630000002</v>
      </c>
      <c r="J78" s="541">
        <v>-35935.697740000003</v>
      </c>
      <c r="K78" s="541">
        <v>-43868.737290000005</v>
      </c>
      <c r="L78" s="541">
        <v>-48533.952360000003</v>
      </c>
      <c r="M78" s="541">
        <v>-51097.105150000003</v>
      </c>
      <c r="N78" s="541">
        <v>-53019.406010000006</v>
      </c>
      <c r="O78" s="541">
        <v>-54619.79959000001</v>
      </c>
      <c r="P78" s="541">
        <v>-56173.40615000001</v>
      </c>
      <c r="Q78" s="541">
        <v>-58149.353890000013</v>
      </c>
      <c r="R78" s="541">
        <v>-61477.482430000011</v>
      </c>
      <c r="S78" s="541">
        <v>-56200.445640000013</v>
      </c>
      <c r="T78" s="541">
        <v>-49897.475640000011</v>
      </c>
      <c r="U78" s="541">
        <v>-43064.021250000013</v>
      </c>
      <c r="V78" s="541">
        <f t="shared" ref="V78:AF78" si="46">SUM(V75:V77)</f>
        <v>-38138.117780000015</v>
      </c>
      <c r="W78" s="541">
        <f t="shared" si="46"/>
        <v>-34282.961340000016</v>
      </c>
      <c r="X78" s="541">
        <f t="shared" si="46"/>
        <v>-31253.873050000017</v>
      </c>
      <c r="Y78" s="541">
        <f t="shared" si="46"/>
        <v>-29770.929110000015</v>
      </c>
      <c r="Z78" s="541">
        <f t="shared" si="46"/>
        <v>-28708.282540000015</v>
      </c>
      <c r="AA78" s="541">
        <f t="shared" si="46"/>
        <v>-27692.487530000013</v>
      </c>
      <c r="AB78" s="541">
        <f t="shared" si="46"/>
        <v>-26711.886850000014</v>
      </c>
      <c r="AC78" s="541">
        <f t="shared" si="46"/>
        <v>-25249.174790000012</v>
      </c>
      <c r="AD78" s="541">
        <f t="shared" si="46"/>
        <v>-23172.041910000011</v>
      </c>
      <c r="AE78" s="541">
        <f t="shared" si="46"/>
        <v>-23172.041910000011</v>
      </c>
      <c r="AF78" s="541">
        <f t="shared" si="46"/>
        <v>-23172.041910000011</v>
      </c>
    </row>
    <row r="79" spans="1:39" ht="16" thickTop="1">
      <c r="B79" s="481" t="s">
        <v>260</v>
      </c>
      <c r="E79" s="482" t="e">
        <f ca="1">_xll.Get_Balance(E74,"YTD","USD","Total","A","","001",$A$74,"GD","WA","DL")</f>
        <v>#NAME?</v>
      </c>
      <c r="F79" s="482" t="e">
        <f ca="1">_xll.Get_Balance(F74,"YTD","USD","Total","A","","001",$A$74,"GD","WA","DL")</f>
        <v>#NAME?</v>
      </c>
      <c r="G79" s="482" t="e">
        <f ca="1">_xll.Get_Balance(G74,"YTD","USD","Total","A","","001",$A$74,"GD","WA","DL")</f>
        <v>#NAME?</v>
      </c>
      <c r="H79" s="482" t="e">
        <f ca="1">_xll.Get_Balance(H74,"YTD","USD","Total","A","","001",$A$74,"GD","WA","DL")</f>
        <v>#NAME?</v>
      </c>
      <c r="I79" s="482">
        <v>-24946.5</v>
      </c>
      <c r="J79" s="482">
        <v>-35935.699999999997</v>
      </c>
      <c r="K79" s="482">
        <v>-43868.74</v>
      </c>
      <c r="L79" s="482">
        <v>-48533.96</v>
      </c>
      <c r="M79" s="482">
        <v>-51097.11</v>
      </c>
      <c r="N79" s="482">
        <v>-53019.41</v>
      </c>
      <c r="O79" s="482">
        <v>-54619.8</v>
      </c>
      <c r="P79" s="482">
        <v>-56173.41</v>
      </c>
      <c r="Q79" s="482">
        <v>-58149.36</v>
      </c>
      <c r="R79" s="482">
        <v>-61477.49</v>
      </c>
      <c r="S79" s="482">
        <v>-56200.45</v>
      </c>
      <c r="T79" s="482">
        <v>-49897.48</v>
      </c>
      <c r="U79" s="482">
        <v>-43064.03</v>
      </c>
      <c r="V79" s="482" t="e">
        <f ca="1">_xll.Get_Balance(V74,"YTD","USD","Total","A","","001",$A$74,"GD","WA","DL")</f>
        <v>#NAME?</v>
      </c>
      <c r="W79" s="482" t="e">
        <f ca="1">_xll.Get_Balance(W74,"YTD","USD","Total","A","","001",$A$74,"GD","WA","DL")</f>
        <v>#NAME?</v>
      </c>
      <c r="X79" s="482" t="e">
        <f ca="1">_xll.Get_Balance(X74,"YTD","USD","Total","A","","001",$A$74,"GD","WA","DL")</f>
        <v>#NAME?</v>
      </c>
      <c r="Y79" s="482" t="e">
        <f ca="1">_xll.Get_Balance(Y74,"YTD","USD","Total","A","","001",$A$74,"GD","WA","DL")</f>
        <v>#NAME?</v>
      </c>
      <c r="Z79" s="482" t="e">
        <f ca="1">_xll.Get_Balance(Z74,"YTD","USD","Total","A","","001",$A$74,"GD","WA","DL")</f>
        <v>#NAME?</v>
      </c>
      <c r="AA79" s="482" t="e">
        <f ca="1">_xll.Get_Balance(AA74,"YTD","USD","Total","A","","001",$A$74,"GD","WA","DL")</f>
        <v>#NAME?</v>
      </c>
      <c r="AB79" s="482" t="e">
        <f ca="1">_xll.Get_Balance(AB74,"YTD","USD","Total","A","","001",$A$74,"GD","WA","DL")</f>
        <v>#NAME?</v>
      </c>
      <c r="AC79" s="482" t="e">
        <f ca="1">_xll.Get_Balance(AC74,"YTD","USD","Total","A","","001",$A$74,"GD","WA","DL")</f>
        <v>#NAME?</v>
      </c>
      <c r="AD79" s="482" t="e">
        <f ca="1">_xll.Get_Balance(AD74,"YTD","USD","Total","A","","001",$A$74,"GD","WA","DL")</f>
        <v>#NAME?</v>
      </c>
      <c r="AE79" s="482" t="e">
        <f ca="1">_xll.Get_Balance(AE74,"YTD","USD","Total","A","","001",$A$74,"GD","WA","DL")</f>
        <v>#NAME?</v>
      </c>
      <c r="AF79" s="482" t="e">
        <f ca="1">_xll.Get_Balance(AF74,"YTD","USD","Total","A","","001",$A$74,"GD","WA","DL")</f>
        <v>#NAME?</v>
      </c>
    </row>
    <row r="80" spans="1:39">
      <c r="B80" s="481" t="s">
        <v>245</v>
      </c>
      <c r="E80" s="482" t="e">
        <f t="shared" ref="E80:H80" ca="1" si="47">E78-E79</f>
        <v>#NAME?</v>
      </c>
      <c r="F80" s="482" t="e">
        <f t="shared" ca="1" si="47"/>
        <v>#NAME?</v>
      </c>
      <c r="G80" s="482" t="e">
        <f t="shared" ca="1" si="47"/>
        <v>#NAME?</v>
      </c>
      <c r="H80" s="482" t="e">
        <f t="shared" ca="1" si="47"/>
        <v>#NAME?</v>
      </c>
      <c r="I80" s="482">
        <v>-1.6300000024784822E-3</v>
      </c>
      <c r="J80" s="482">
        <v>2.2599999938393012E-3</v>
      </c>
      <c r="K80" s="482">
        <v>2.7099999933852814E-3</v>
      </c>
      <c r="L80" s="482">
        <v>7.6399999961722642E-3</v>
      </c>
      <c r="M80" s="482">
        <v>4.8499999975319952E-3</v>
      </c>
      <c r="N80" s="482">
        <v>3.9899999974295497E-3</v>
      </c>
      <c r="O80" s="482">
        <v>4.0999999328050762E-4</v>
      </c>
      <c r="P80" s="482">
        <v>3.8499999936902896E-3</v>
      </c>
      <c r="Q80" s="482">
        <v>6.1099999875295907E-3</v>
      </c>
      <c r="R80" s="482">
        <v>7.5699999870266765E-3</v>
      </c>
      <c r="S80" s="482">
        <v>4.3599999844445847E-3</v>
      </c>
      <c r="T80" s="482">
        <v>4.3599999917205423E-3</v>
      </c>
      <c r="U80" s="482">
        <v>8.7499999863211997E-3</v>
      </c>
      <c r="V80" s="482" t="e">
        <f t="shared" ref="V80:AF80" ca="1" si="48">V78-V79</f>
        <v>#NAME?</v>
      </c>
      <c r="W80" s="482" t="e">
        <f t="shared" ca="1" si="48"/>
        <v>#NAME?</v>
      </c>
      <c r="X80" s="482" t="e">
        <f t="shared" ca="1" si="48"/>
        <v>#NAME?</v>
      </c>
      <c r="Y80" s="482" t="e">
        <f t="shared" ca="1" si="48"/>
        <v>#NAME?</v>
      </c>
      <c r="Z80" s="482" t="e">
        <f t="shared" ca="1" si="48"/>
        <v>#NAME?</v>
      </c>
      <c r="AA80" s="482" t="e">
        <f t="shared" ca="1" si="48"/>
        <v>#NAME?</v>
      </c>
      <c r="AB80" s="482" t="e">
        <f t="shared" ca="1" si="48"/>
        <v>#NAME?</v>
      </c>
      <c r="AC80" s="482" t="e">
        <f t="shared" ca="1" si="48"/>
        <v>#NAME?</v>
      </c>
      <c r="AD80" s="482" t="e">
        <f t="shared" ca="1" si="48"/>
        <v>#NAME?</v>
      </c>
      <c r="AE80" s="482" t="e">
        <f t="shared" ca="1" si="48"/>
        <v>#NAME?</v>
      </c>
      <c r="AF80" s="482" t="e">
        <f t="shared" ca="1" si="48"/>
        <v>#NAME?</v>
      </c>
    </row>
  </sheetData>
  <conditionalFormatting sqref="E28 K28:AG28 L62:AG62">
    <cfRule type="cellIs" dxfId="537" priority="23" operator="notEqual">
      <formula>E27</formula>
    </cfRule>
  </conditionalFormatting>
  <conditionalFormatting sqref="F28">
    <cfRule type="cellIs" dxfId="536" priority="22" operator="notEqual">
      <formula>F27</formula>
    </cfRule>
  </conditionalFormatting>
  <conditionalFormatting sqref="G28">
    <cfRule type="cellIs" dxfId="535" priority="21" operator="notEqual">
      <formula>G27</formula>
    </cfRule>
  </conditionalFormatting>
  <conditionalFormatting sqref="H28">
    <cfRule type="cellIs" dxfId="534" priority="20" operator="notEqual">
      <formula>H27</formula>
    </cfRule>
  </conditionalFormatting>
  <conditionalFormatting sqref="G62">
    <cfRule type="cellIs" dxfId="533" priority="19" operator="notEqual">
      <formula>G61</formula>
    </cfRule>
  </conditionalFormatting>
  <conditionalFormatting sqref="H62">
    <cfRule type="cellIs" dxfId="532" priority="18" operator="notEqual">
      <formula>H61</formula>
    </cfRule>
  </conditionalFormatting>
  <conditionalFormatting sqref="E62">
    <cfRule type="cellIs" dxfId="531" priority="17" operator="notEqual">
      <formula>E61</formula>
    </cfRule>
  </conditionalFormatting>
  <conditionalFormatting sqref="F62">
    <cfRule type="cellIs" dxfId="530" priority="16" operator="notEqual">
      <formula>F61</formula>
    </cfRule>
  </conditionalFormatting>
  <conditionalFormatting sqref="AM76 AM45 AM11">
    <cfRule type="cellIs" dxfId="529" priority="15" operator="notEqual">
      <formula>0</formula>
    </cfRule>
  </conditionalFormatting>
  <conditionalFormatting sqref="D62">
    <cfRule type="cellIs" dxfId="528" priority="14" operator="notEqual">
      <formula>D61</formula>
    </cfRule>
  </conditionalFormatting>
  <conditionalFormatting sqref="C62">
    <cfRule type="cellIs" dxfId="527" priority="13" operator="notEqual">
      <formula>C61</formula>
    </cfRule>
  </conditionalFormatting>
  <conditionalFormatting sqref="D28">
    <cfRule type="cellIs" dxfId="526" priority="12" operator="notEqual">
      <formula>D27</formula>
    </cfRule>
  </conditionalFormatting>
  <conditionalFormatting sqref="C28">
    <cfRule type="cellIs" dxfId="525" priority="11" operator="notEqual">
      <formula>C27</formula>
    </cfRule>
  </conditionalFormatting>
  <conditionalFormatting sqref="I28">
    <cfRule type="cellIs" dxfId="524" priority="10" operator="notEqual">
      <formula>I27</formula>
    </cfRule>
  </conditionalFormatting>
  <conditionalFormatting sqref="I62">
    <cfRule type="cellIs" dxfId="523" priority="9" operator="notEqual">
      <formula>I61</formula>
    </cfRule>
  </conditionalFormatting>
  <conditionalFormatting sqref="J28">
    <cfRule type="cellIs" dxfId="522" priority="8" operator="notEqual">
      <formula>J27</formula>
    </cfRule>
  </conditionalFormatting>
  <conditionalFormatting sqref="J62">
    <cfRule type="cellIs" dxfId="521" priority="7" operator="notEqual">
      <formula>J61</formula>
    </cfRule>
  </conditionalFormatting>
  <conditionalFormatting sqref="K62">
    <cfRule type="cellIs" dxfId="520" priority="6" operator="notEqual">
      <formula>K61</formula>
    </cfRule>
  </conditionalFormatting>
  <conditionalFormatting sqref="U28">
    <cfRule type="cellIs" dxfId="519" priority="5" operator="notEqual">
      <formula>U27</formula>
    </cfRule>
  </conditionalFormatting>
  <conditionalFormatting sqref="U62">
    <cfRule type="cellIs" dxfId="518" priority="4" operator="notEqual">
      <formula>U61</formula>
    </cfRule>
  </conditionalFormatting>
  <conditionalFormatting sqref="V28">
    <cfRule type="cellIs" dxfId="517" priority="3" operator="notEqual">
      <formula>V27</formula>
    </cfRule>
  </conditionalFormatting>
  <conditionalFormatting sqref="V62">
    <cfRule type="cellIs" dxfId="516" priority="2" operator="notEqual">
      <formula>V61</formula>
    </cfRule>
  </conditionalFormatting>
  <conditionalFormatting sqref="W62">
    <cfRule type="cellIs" dxfId="515" priority="1" operator="notEqual">
      <formula>W61</formula>
    </cfRule>
  </conditionalFormatting>
  <pageMargins left="0" right="0" top="0.75" bottom="0.75" header="0.3" footer="0.3"/>
  <pageSetup scale="39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pageSetUpPr fitToPage="1"/>
  </sheetPr>
  <dimension ref="A1:AO93"/>
  <sheetViews>
    <sheetView topLeftCell="S39" zoomScale="89" zoomScaleNormal="89" zoomScaleSheetLayoutView="85" workbookViewId="0">
      <selection activeCell="Z47" sqref="Z47"/>
    </sheetView>
  </sheetViews>
  <sheetFormatPr defaultColWidth="9.09765625" defaultRowHeight="15.5"/>
  <cols>
    <col min="1" max="1" width="16.69921875" style="482" customWidth="1"/>
    <col min="2" max="2" width="25.296875" style="481" bestFit="1" customWidth="1"/>
    <col min="3" max="3" width="16.296875" style="482" bestFit="1" customWidth="1"/>
    <col min="4" max="4" width="16.09765625" style="482" customWidth="1"/>
    <col min="5" max="6" width="16.3984375" style="482" hidden="1" customWidth="1"/>
    <col min="7" max="7" width="16.296875" style="482" hidden="1" customWidth="1"/>
    <col min="8" max="9" width="18.3984375" style="482" hidden="1" customWidth="1"/>
    <col min="10" max="12" width="16.296875" style="482" hidden="1" customWidth="1"/>
    <col min="13" max="13" width="16.8984375" style="482" hidden="1" customWidth="1"/>
    <col min="14" max="18" width="16.296875" style="482" hidden="1" customWidth="1"/>
    <col min="19" max="20" width="16.296875" style="482" customWidth="1"/>
    <col min="21" max="21" width="18.3984375" style="482" customWidth="1"/>
    <col min="22" max="23" width="16.296875" style="482" customWidth="1"/>
    <col min="24" max="24" width="16.69921875" style="482" customWidth="1"/>
    <col min="25" max="25" width="16.8984375" style="482" customWidth="1"/>
    <col min="26" max="28" width="16.296875" style="482" customWidth="1"/>
    <col min="29" max="32" width="16.296875" style="482" hidden="1" customWidth="1"/>
    <col min="33" max="33" width="1.59765625" style="482" customWidth="1"/>
    <col min="34" max="34" width="36.296875" style="482" bestFit="1" customWidth="1"/>
    <col min="35" max="35" width="15.59765625" style="525" bestFit="1" customWidth="1"/>
    <col min="36" max="36" width="4.69921875" style="482" bestFit="1" customWidth="1"/>
    <col min="37" max="37" width="3.3984375" style="482" bestFit="1" customWidth="1"/>
    <col min="38" max="39" width="17.09765625" style="482" bestFit="1" customWidth="1"/>
    <col min="40" max="40" width="0.59765625" style="482" customWidth="1"/>
    <col min="41" max="16384" width="9.09765625" style="482"/>
  </cols>
  <sheetData>
    <row r="1" spans="1:39">
      <c r="A1" s="480" t="s">
        <v>265</v>
      </c>
      <c r="AH1" s="480" t="s">
        <v>315</v>
      </c>
    </row>
    <row r="2" spans="1:39">
      <c r="A2" s="483" t="s">
        <v>267</v>
      </c>
    </row>
    <row r="3" spans="1:39" s="483" customFormat="1" ht="31.5" thickBot="1">
      <c r="A3" s="484">
        <v>191010</v>
      </c>
      <c r="B3" s="485" t="s">
        <v>256</v>
      </c>
      <c r="C3" s="486" t="s">
        <v>251</v>
      </c>
      <c r="D3" s="688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I3" s="484"/>
    </row>
    <row r="4" spans="1:39" s="483" customFormat="1" ht="16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H4" s="544">
        <v>201508</v>
      </c>
      <c r="AI4" s="526"/>
      <c r="AJ4" s="514"/>
      <c r="AK4" s="514"/>
      <c r="AL4" s="514"/>
      <c r="AM4" s="515"/>
    </row>
    <row r="5" spans="1:39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f>T13</f>
        <v>-411904.7279799963</v>
      </c>
      <c r="V5" s="482">
        <f>U13</f>
        <v>-645308.82581999747</v>
      </c>
      <c r="W5" s="482">
        <f t="shared" ref="W5:AF5" si="1">V13</f>
        <v>-851213.3205709972</v>
      </c>
      <c r="X5" s="482">
        <f t="shared" si="1"/>
        <v>-383853.68833599566</v>
      </c>
      <c r="Y5" s="482">
        <f t="shared" si="1"/>
        <v>-1320748.2898439963</v>
      </c>
      <c r="Z5" s="482">
        <f t="shared" si="1"/>
        <v>-1486769.1493459961</v>
      </c>
      <c r="AA5" s="482">
        <f t="shared" si="1"/>
        <v>-1775279.9458759972</v>
      </c>
      <c r="AB5" s="482">
        <f t="shared" si="1"/>
        <v>-2119120.6388879968</v>
      </c>
      <c r="AC5" s="482">
        <f t="shared" si="1"/>
        <v>-2515662.2971379957</v>
      </c>
      <c r="AD5" s="482">
        <f t="shared" si="1"/>
        <v>-3163911.9401459969</v>
      </c>
      <c r="AE5" s="482">
        <f t="shared" si="1"/>
        <v>-3819344.4755009972</v>
      </c>
      <c r="AF5" s="482">
        <f t="shared" si="1"/>
        <v>-4461427.0393109964</v>
      </c>
      <c r="AH5" s="497" t="s">
        <v>304</v>
      </c>
      <c r="AI5" s="527">
        <v>419600</v>
      </c>
      <c r="AJ5" s="498" t="s">
        <v>288</v>
      </c>
      <c r="AK5" s="498" t="s">
        <v>291</v>
      </c>
      <c r="AL5" s="519">
        <v>0</v>
      </c>
      <c r="AM5" s="520">
        <f>IF(SUMIF(U3:AF3,AH4,U8:AF8)&gt;0,SUMIF(U3:AF3,AH4,U8:AF8),0)</f>
        <v>0</v>
      </c>
    </row>
    <row r="6" spans="1:39">
      <c r="B6" s="481" t="s">
        <v>254</v>
      </c>
      <c r="C6" s="482">
        <f>SUM(U6:AF6)</f>
        <v>-5056717.7079139985</v>
      </c>
      <c r="D6" s="482">
        <f>-1369125.49+SUM(E6:N6,E9:T9)</f>
        <v>-2.14532227255404E-3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f>Jan!$J$53</f>
        <v>331968.15844599903</v>
      </c>
      <c r="V6" s="482">
        <f>Feb!$J$53</f>
        <v>0</v>
      </c>
      <c r="W6" s="482">
        <f>Mar!$J$53</f>
        <v>547802.71264300169</v>
      </c>
      <c r="X6" s="482">
        <f>Apr!$J$53</f>
        <v>-1029654.8148680007</v>
      </c>
      <c r="Y6" s="482">
        <f>May!$J$53</f>
        <v>-494908.28808599967</v>
      </c>
      <c r="Z6" s="482">
        <f>Jun!$J$53</f>
        <v>-803843.28933000052</v>
      </c>
      <c r="AA6" s="482">
        <f>Jul!$J$53</f>
        <v>-778841.02357199905</v>
      </c>
      <c r="AB6" s="482">
        <f>Aug!$J$53</f>
        <v>-816009.11660199915</v>
      </c>
      <c r="AC6" s="482">
        <f>Sep!$J$53</f>
        <v>-995450.54456800083</v>
      </c>
      <c r="AD6" s="482">
        <f>Oct!$J$55</f>
        <v>-911936.74747700011</v>
      </c>
      <c r="AE6" s="482">
        <f>Nov!$J$55</f>
        <v>-105844.75449999981</v>
      </c>
      <c r="AF6" s="482">
        <f>Dec!$J$53</f>
        <v>0</v>
      </c>
      <c r="AH6" s="499" t="s">
        <v>305</v>
      </c>
      <c r="AI6" s="528">
        <v>431600</v>
      </c>
      <c r="AJ6" s="358" t="s">
        <v>288</v>
      </c>
      <c r="AK6" s="358" t="s">
        <v>291</v>
      </c>
      <c r="AL6" s="381">
        <f>IF(SUMIF(U3:AF3,AH4,U8:AF8)&lt;0,-SUMIF(U3:AF3,AH4,U8:AF8),0)</f>
        <v>1930.36</v>
      </c>
      <c r="AM6" s="500">
        <v>0</v>
      </c>
    </row>
    <row r="7" spans="1:39">
      <c r="B7" s="481" t="s">
        <v>255</v>
      </c>
      <c r="C7" s="482">
        <f t="shared" ref="C7:C11" si="2">SUM(U7:AF7)</f>
        <v>954206.43658299907</v>
      </c>
      <c r="D7" s="482">
        <f>1867859.17+SUM(E7:N7,E10:T10)</f>
        <v>-1.7596203833818436E-3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f>Jan!$K$53</f>
        <v>-634725.57628600008</v>
      </c>
      <c r="V7" s="482">
        <f>Feb!$K$53</f>
        <v>-205263.17475099966</v>
      </c>
      <c r="W7" s="482">
        <f>Mar!$K$53</f>
        <v>-80067.220408000168</v>
      </c>
      <c r="X7" s="482">
        <f>Apr!$K$53</f>
        <v>93304.253359999973</v>
      </c>
      <c r="Y7" s="482">
        <f>May!$K$53</f>
        <v>330056.73858399986</v>
      </c>
      <c r="Z7" s="482">
        <f>Jun!$K$53</f>
        <v>516691.11279999983</v>
      </c>
      <c r="AA7" s="482">
        <f>Jul!$K$53</f>
        <v>436622.32056000002</v>
      </c>
      <c r="AB7" s="482">
        <f>Aug!$K$53</f>
        <v>421397.81835199991</v>
      </c>
      <c r="AC7" s="482">
        <f>Sep!$K$53</f>
        <v>349566.40155999974</v>
      </c>
      <c r="AD7" s="482">
        <f>Oct!$K$55</f>
        <v>259412.69212199986</v>
      </c>
      <c r="AE7" s="563">
        <f>Nov!$K$55</f>
        <v>-532788.92931000004</v>
      </c>
      <c r="AF7" s="482">
        <f>Dec!$K$53</f>
        <v>0</v>
      </c>
      <c r="AH7" s="499" t="s">
        <v>306</v>
      </c>
      <c r="AI7" s="528">
        <v>191010</v>
      </c>
      <c r="AJ7" s="358" t="s">
        <v>288</v>
      </c>
      <c r="AK7" s="358" t="s">
        <v>291</v>
      </c>
      <c r="AL7" s="381">
        <f>IF((SUMIF(U3:AF3,AH4,U6:AF6)+SUMIF(U3:AF3,AH4,U7:AF7)+SUMIF(U3:AF3,AH4,U8:AF8))&gt;0,(SUMIF(U3:AF3,AH4,U6:AF6)+SUMIF(U3:AF3,AH4,U7:AF7)+SUMIF(U3:AF3,AH4,U8:AF8)),0)</f>
        <v>0</v>
      </c>
      <c r="AM7" s="500">
        <f>IF((SUMIF(U3:AF3,AH4,U6:AF6)+SUMIF(U3:AF3,AH4,U7:AF7)+SUMIF(U3:AF3,AH4,U8:AF8))&lt;0,-(SUMIF(U3:AF3,AH4,U6:AF6)+SUMIF(U3:AF3,AH4,U7:AF7)++SUMIF(U3:AF3,AH4,U8:AF8)),0)</f>
        <v>396541.65824999922</v>
      </c>
    </row>
    <row r="8" spans="1:39">
      <c r="B8" s="481" t="s">
        <v>258</v>
      </c>
      <c r="C8" s="482">
        <f t="shared" si="2"/>
        <v>-20775.64</v>
      </c>
      <c r="D8" s="482">
        <f>-7356.73+SUM(E8:N8,E11:T11)</f>
        <v>0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f>ROUND(((X5+X12)*(X4/12))+((SUM(X6:X7)/2)*(X4/12)),2)</f>
        <v>-709.89</v>
      </c>
      <c r="Y8" s="489">
        <f t="shared" ref="Y8:AC8" si="3">ROUND(((Y5+Y9+Y10+Y11)*(Y4/12))+((SUM(Y6:Y7)/2)*(Y4/12)),2)</f>
        <v>-1169.31</v>
      </c>
      <c r="Z8" s="489">
        <f t="shared" si="3"/>
        <v>-1358.62</v>
      </c>
      <c r="AA8" s="489">
        <f t="shared" si="3"/>
        <v>-1621.99</v>
      </c>
      <c r="AB8" s="489">
        <f t="shared" si="3"/>
        <v>-1930.36</v>
      </c>
      <c r="AC8" s="489">
        <f t="shared" si="3"/>
        <v>-2365.5</v>
      </c>
      <c r="AD8" s="489">
        <f>ROUND(((AD5+AD9+AD10+AD11)*(AD4/12))+((SUM(AD6:AD7)/2)*(AD4/12)),2)</f>
        <v>-2908.48</v>
      </c>
      <c r="AE8" s="482">
        <f>ROUND(((AE5+AE9+AE10+AE11)*(AE4/12))+((SUM(AE6:AE7)/2)*(AE4/12)),2)</f>
        <v>-3448.88</v>
      </c>
      <c r="AF8" s="489">
        <f>ROUND(((AF5+AF9+AF10+AF11)*(AF4/12))+((SUM(AF6:AF7)/2)*(AF4/12)),2)</f>
        <v>-3717.86</v>
      </c>
      <c r="AH8" s="499" t="s">
        <v>307</v>
      </c>
      <c r="AI8" s="528">
        <v>805120</v>
      </c>
      <c r="AJ8" s="358" t="s">
        <v>288</v>
      </c>
      <c r="AK8" s="358" t="s">
        <v>291</v>
      </c>
      <c r="AL8" s="381">
        <f>IF((SUMIF(U3:AF3,AH4,U6:AF6)+SUMIF(U3:AF3,AH4,U7:AF7))&lt;0,-(SUMIF(U3:AF3,AH4,U6:AF6)+SUMIF(U3:AF3,AH4,U7:AF7)),0)</f>
        <v>394611.29824999924</v>
      </c>
      <c r="AM8" s="500">
        <f>IF((SUMIF(U3:AF3,AH4,U6:AF6)+SUMIF(U3:AF3,AH4,U7:AF7))&gt;0,(SUMIF(U3:AF3,AH4,U6:AF6)+SUMIF(U3:AF3,AH4,U7:AF7)),0)</f>
        <v>0</v>
      </c>
    </row>
    <row r="9" spans="1:39">
      <c r="B9" s="481" t="s">
        <v>262</v>
      </c>
      <c r="C9" s="482">
        <f t="shared" si="2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F9" s="482">
        <v>0</v>
      </c>
      <c r="AH9" s="499" t="s">
        <v>11</v>
      </c>
      <c r="AI9" s="528">
        <v>191010</v>
      </c>
      <c r="AJ9" s="358" t="s">
        <v>288</v>
      </c>
      <c r="AK9" s="358" t="s">
        <v>291</v>
      </c>
      <c r="AL9" s="381">
        <v>0</v>
      </c>
      <c r="AM9" s="500">
        <v>0</v>
      </c>
    </row>
    <row r="10" spans="1:39" ht="16" thickBot="1">
      <c r="B10" s="481" t="s">
        <v>263</v>
      </c>
      <c r="C10" s="482">
        <f t="shared" si="2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F10" s="482">
        <v>0</v>
      </c>
      <c r="AH10" s="501" t="str">
        <f>AH9</f>
        <v>Tracker Transfer</v>
      </c>
      <c r="AI10" s="529">
        <f>AI44</f>
        <v>191000</v>
      </c>
      <c r="AJ10" s="529" t="str">
        <f>AJ44</f>
        <v>GD</v>
      </c>
      <c r="AK10" s="529" t="str">
        <f>AK44</f>
        <v>ID</v>
      </c>
      <c r="AL10" s="503">
        <v>0</v>
      </c>
      <c r="AM10" s="521">
        <f>AL9</f>
        <v>0</v>
      </c>
    </row>
    <row r="11" spans="1:39" ht="16" thickBot="1">
      <c r="B11" s="481" t="s">
        <v>264</v>
      </c>
      <c r="C11" s="482">
        <f t="shared" si="2"/>
        <v>-49.16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F11" s="482">
        <v>0</v>
      </c>
      <c r="AH11" s="516"/>
      <c r="AI11" s="530"/>
      <c r="AJ11" s="517"/>
      <c r="AK11" s="517"/>
      <c r="AL11" s="517" t="s">
        <v>159</v>
      </c>
      <c r="AM11" s="518">
        <f>SUM(AL5:AL10)-SUM(AM5:AM10)</f>
        <v>0</v>
      </c>
    </row>
    <row r="12" spans="1:39">
      <c r="B12" s="481" t="s">
        <v>148</v>
      </c>
      <c r="C12" s="482">
        <f>SUM(U12:AF12)</f>
        <v>70095.900000000009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</row>
    <row r="13" spans="1:39" ht="16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4">SUM(F5:F12)</f>
        <v>-179650.44284699953</v>
      </c>
      <c r="G13" s="541">
        <f t="shared" si="4"/>
        <v>-770749.33284699952</v>
      </c>
      <c r="H13" s="541">
        <f t="shared" si="4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F13" si="5">SUM(U5:U12)</f>
        <v>-645308.82581999747</v>
      </c>
      <c r="V13" s="541">
        <f t="shared" si="5"/>
        <v>-851213.3205709972</v>
      </c>
      <c r="W13" s="541">
        <f t="shared" si="5"/>
        <v>-383853.68833599566</v>
      </c>
      <c r="X13" s="541">
        <f t="shared" si="5"/>
        <v>-1320748.2898439963</v>
      </c>
      <c r="Y13" s="541">
        <f t="shared" si="5"/>
        <v>-1486769.1493459961</v>
      </c>
      <c r="Z13" s="541">
        <f t="shared" si="5"/>
        <v>-1775279.9458759972</v>
      </c>
      <c r="AA13" s="541">
        <f t="shared" si="5"/>
        <v>-2119120.6388879968</v>
      </c>
      <c r="AB13" s="541">
        <f t="shared" si="5"/>
        <v>-2515662.2971379957</v>
      </c>
      <c r="AC13" s="541">
        <f t="shared" si="5"/>
        <v>-3163911.9401459969</v>
      </c>
      <c r="AD13" s="541">
        <f t="shared" si="5"/>
        <v>-3819344.4755009972</v>
      </c>
      <c r="AE13" s="541">
        <f t="shared" si="5"/>
        <v>-4461427.0393109964</v>
      </c>
      <c r="AF13" s="541">
        <f t="shared" si="5"/>
        <v>-4465144.8993109968</v>
      </c>
    </row>
    <row r="14" spans="1:39" ht="16" thickTop="1">
      <c r="B14" s="481" t="s">
        <v>260</v>
      </c>
      <c r="E14" s="482" t="e">
        <f ca="1">_xll.Get_Balance(E3,"YTD","USD","Total","A","","001",$A$3,"GD","ID","DL")</f>
        <v>#NAME?</v>
      </c>
      <c r="F14" s="482" t="e">
        <f ca="1">_xll.Get_Balance(F3,"YTD","USD","Total","A","","001",$A$3,"GD","ID","DL")</f>
        <v>#NAME?</v>
      </c>
      <c r="G14" s="482" t="e">
        <f ca="1">_xll.Get_Balance(G3,"YTD","USD","Total","A","","001",$A$3,"GD","ID","DL")</f>
        <v>#NAME?</v>
      </c>
      <c r="H14" s="482" t="e">
        <f ca="1">_xll.Get_Balance(H3,"YTD","USD","Total","A","","001",$A$3,"GD","ID","DL")</f>
        <v>#NAME?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 t="e">
        <f ca="1">_xll.Get_Balance(S3,"YTD","USD","Total","A","","001",$A$3,"GD","ID","DL")</f>
        <v>#NAME?</v>
      </c>
      <c r="T14" s="482" t="e">
        <f ca="1">_xll.Get_Balance(T3,"YTD","USD","Total","A","","001",$A$3,"GD","ID","DL")</f>
        <v>#NAME?</v>
      </c>
      <c r="U14" s="482" t="e">
        <f ca="1">_xll.Get_Balance(U3,"YTD","USD","Total","A","","001",$A$3,"GD","ID","DL")</f>
        <v>#NAME?</v>
      </c>
      <c r="V14" s="482" t="e">
        <f ca="1">_xll.Get_Balance(V3,"YTD","USD","Total","A","","001",$A$3,"GD","ID","DL")</f>
        <v>#NAME?</v>
      </c>
      <c r="W14" s="482" t="e">
        <f ca="1">_xll.Get_Balance(W3,"YTD","USD","Total","A","","001",$A$3,"GD","ID","DL")</f>
        <v>#NAME?</v>
      </c>
      <c r="X14" s="482" t="e">
        <f ca="1">_xll.Get_Balance(X3,"YTD","USD","Total","A","","001",$A$3,"GD","ID","DL")</f>
        <v>#NAME?</v>
      </c>
      <c r="Y14" s="482" t="e">
        <f ca="1">_xll.Get_Balance(Y3,"YTD","USD","Total","A","","001",$A$3,"GD","ID","DL")</f>
        <v>#NAME?</v>
      </c>
      <c r="Z14" s="482" t="e">
        <f ca="1">_xll.Get_Balance(Z3,"YTD","USD","Total","A","","001",$A$3,"GD","ID","DL")</f>
        <v>#NAME?</v>
      </c>
      <c r="AA14" s="482" t="e">
        <f ca="1">_xll.Get_Balance(AA3,"YTD","USD","Total","A","","001",$A$3,"GD","ID","DL")</f>
        <v>#NAME?</v>
      </c>
      <c r="AB14" s="482" t="e">
        <f ca="1">_xll.Get_Balance(AB3,"YTD","USD","Total","A","","001",$A$3,"GD","ID","DL")</f>
        <v>#NAME?</v>
      </c>
      <c r="AC14" s="482" t="e">
        <f ca="1">_xll.Get_Balance(AC3,"YTD","USD","Total","A","","001",$A$3,"GD","ID","DL")</f>
        <v>#NAME?</v>
      </c>
      <c r="AD14" s="482" t="e">
        <f ca="1">_xll.Get_Balance(AD3,"YTD","USD","Total","A","","001",$A$3,"GD","ID","DL")</f>
        <v>#NAME?</v>
      </c>
      <c r="AE14" s="482" t="e">
        <f ca="1">_xll.Get_Balance(AE3,"YTD","USD","Total","A","","001",$A$3,"GD","ID","DL")</f>
        <v>#NAME?</v>
      </c>
      <c r="AF14" s="482" t="e">
        <f ca="1">_xll.Get_Balance(AF3,"YTD","USD","Total","A","","001",$A$3,"GD","ID","DL")</f>
        <v>#NAME?</v>
      </c>
    </row>
    <row r="15" spans="1:39">
      <c r="B15" s="481" t="s">
        <v>245</v>
      </c>
      <c r="E15" s="482" t="e">
        <f t="shared" ref="E15:H15" ca="1" si="6">E13-E14</f>
        <v>#NAME?</v>
      </c>
      <c r="F15" s="482" t="e">
        <f t="shared" ca="1" si="6"/>
        <v>#NAME?</v>
      </c>
      <c r="G15" s="482" t="e">
        <f t="shared" ca="1" si="6"/>
        <v>#NAME?</v>
      </c>
      <c r="H15" s="482" t="e">
        <f t="shared" ca="1" si="6"/>
        <v>#NAME?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 t="e">
        <f t="shared" ref="S15:T15" ca="1" si="7">S13-S14</f>
        <v>#NAME?</v>
      </c>
      <c r="T15" s="482" t="e">
        <f t="shared" ca="1" si="7"/>
        <v>#NAME?</v>
      </c>
      <c r="U15" s="482" t="e">
        <f ca="1">U13-U14</f>
        <v>#NAME?</v>
      </c>
      <c r="V15" s="482" t="e">
        <f ca="1">V13-V14</f>
        <v>#NAME?</v>
      </c>
      <c r="W15" s="482" t="e">
        <f t="shared" ref="W15:AF15" ca="1" si="8">W13-W14</f>
        <v>#NAME?</v>
      </c>
      <c r="X15" s="482" t="e">
        <f t="shared" ca="1" si="8"/>
        <v>#NAME?</v>
      </c>
      <c r="Y15" s="482" t="e">
        <f t="shared" ca="1" si="8"/>
        <v>#NAME?</v>
      </c>
      <c r="Z15" s="482" t="e">
        <f t="shared" ca="1" si="8"/>
        <v>#NAME?</v>
      </c>
      <c r="AA15" s="482" t="e">
        <f t="shared" ca="1" si="8"/>
        <v>#NAME?</v>
      </c>
      <c r="AB15" s="482" t="e">
        <f t="shared" ca="1" si="8"/>
        <v>#NAME?</v>
      </c>
      <c r="AC15" s="482" t="e">
        <f t="shared" ca="1" si="8"/>
        <v>#NAME?</v>
      </c>
      <c r="AD15" s="482" t="e">
        <f t="shared" ca="1" si="8"/>
        <v>#NAME?</v>
      </c>
      <c r="AE15" s="482" t="e">
        <f t="shared" ca="1" si="8"/>
        <v>#NAME?</v>
      </c>
      <c r="AF15" s="482" t="e">
        <f t="shared" ca="1" si="8"/>
        <v>#NAME?</v>
      </c>
    </row>
    <row r="16" spans="1:39">
      <c r="A16" s="483" t="s">
        <v>271</v>
      </c>
      <c r="U16" s="482" t="s">
        <v>330</v>
      </c>
    </row>
    <row r="17" spans="1:39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I17" s="558"/>
      <c r="AL17" s="482">
        <v>0</v>
      </c>
    </row>
    <row r="18" spans="1:39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9">U18+1</f>
        <v>201502</v>
      </c>
      <c r="W18" s="484">
        <f t="shared" si="9"/>
        <v>201503</v>
      </c>
      <c r="X18" s="484">
        <f t="shared" si="9"/>
        <v>201504</v>
      </c>
      <c r="Y18" s="484">
        <f t="shared" si="9"/>
        <v>201505</v>
      </c>
      <c r="Z18" s="484">
        <f t="shared" si="9"/>
        <v>201506</v>
      </c>
      <c r="AA18" s="484">
        <f t="shared" si="9"/>
        <v>201507</v>
      </c>
      <c r="AB18" s="484">
        <f t="shared" si="9"/>
        <v>201508</v>
      </c>
      <c r="AC18" s="484">
        <f t="shared" si="9"/>
        <v>201509</v>
      </c>
      <c r="AD18" s="484">
        <f t="shared" si="9"/>
        <v>201510</v>
      </c>
      <c r="AE18" s="484">
        <f t="shared" si="9"/>
        <v>201511</v>
      </c>
      <c r="AF18" s="484">
        <f t="shared" si="9"/>
        <v>201512</v>
      </c>
      <c r="AI18" s="558"/>
    </row>
    <row r="19" spans="1:39">
      <c r="A19" s="483"/>
      <c r="B19" s="481" t="s">
        <v>37</v>
      </c>
      <c r="C19" s="491">
        <f>SUM(U19:AF19)</f>
        <v>39097164</v>
      </c>
      <c r="D19" s="491">
        <f>SUM(F19:Q19)</f>
        <v>56675951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f>Jan!$K36</f>
        <v>8991869</v>
      </c>
      <c r="V19" s="491">
        <f>Feb!$K36</f>
        <v>5607449</v>
      </c>
      <c r="W19" s="491">
        <f>Mar!$K36</f>
        <v>5090227</v>
      </c>
      <c r="X19" s="491">
        <f>Apr!$K36</f>
        <v>3621515</v>
      </c>
      <c r="Y19" s="491">
        <f>May!$K36</f>
        <v>1624041</v>
      </c>
      <c r="Z19" s="491">
        <f>Jun!$K36</f>
        <v>985347</v>
      </c>
      <c r="AA19" s="491">
        <f>Jul!$K36</f>
        <v>990038</v>
      </c>
      <c r="AB19" s="491">
        <f>Aug!$K36</f>
        <v>930531</v>
      </c>
      <c r="AC19" s="491">
        <f>Sep!$K36</f>
        <v>1531464</v>
      </c>
      <c r="AD19" s="491">
        <f>Oct!$K36</f>
        <v>2476612</v>
      </c>
      <c r="AE19" s="491">
        <f>Nov!$K36</f>
        <v>7248071</v>
      </c>
      <c r="AF19" s="491">
        <f>Dec!$K36</f>
        <v>0</v>
      </c>
      <c r="AG19" s="491"/>
    </row>
    <row r="20" spans="1:39">
      <c r="A20" s="483"/>
      <c r="B20" s="481" t="s">
        <v>38</v>
      </c>
      <c r="C20" s="491">
        <f t="shared" ref="C20:C24" si="10">SUM(U20:AF20)</f>
        <v>18037646</v>
      </c>
      <c r="D20" s="491">
        <f>SUM(F20:Q20)</f>
        <v>22466066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f>Jan!$K37</f>
        <v>2818068</v>
      </c>
      <c r="V20" s="491">
        <f>Feb!$K37</f>
        <v>2333245</v>
      </c>
      <c r="W20" s="491">
        <f>Mar!$K37</f>
        <v>1927746</v>
      </c>
      <c r="X20" s="491">
        <f>Apr!$K37</f>
        <v>1633221</v>
      </c>
      <c r="Y20" s="491">
        <f>May!$K37</f>
        <v>1075904</v>
      </c>
      <c r="Z20" s="491">
        <f>Jun!$K37</f>
        <v>1089173</v>
      </c>
      <c r="AA20" s="491">
        <f>Jul!$K37</f>
        <v>964252</v>
      </c>
      <c r="AB20" s="491">
        <f>Aug!$K37</f>
        <v>1322423</v>
      </c>
      <c r="AC20" s="491">
        <f>Sep!$K37</f>
        <v>1101192</v>
      </c>
      <c r="AD20" s="491">
        <f>Oct!$K37</f>
        <v>1392647</v>
      </c>
      <c r="AE20" s="491">
        <f>Nov!$K37</f>
        <v>2379775</v>
      </c>
      <c r="AF20" s="491">
        <f>Dec!$K37</f>
        <v>0</v>
      </c>
      <c r="AG20" s="491"/>
    </row>
    <row r="21" spans="1:39" hidden="1">
      <c r="A21" s="483"/>
      <c r="B21" s="481" t="s">
        <v>39</v>
      </c>
      <c r="C21" s="491">
        <f t="shared" si="10"/>
        <v>0</v>
      </c>
      <c r="D21" s="491">
        <f>SUM(G21:R21)</f>
        <v>0</v>
      </c>
      <c r="E21" s="491"/>
      <c r="F21" s="491"/>
      <c r="G21" s="491"/>
      <c r="H21" s="491"/>
    </row>
    <row r="22" spans="1:39" hidden="1">
      <c r="A22" s="483"/>
      <c r="B22" s="481" t="s">
        <v>40</v>
      </c>
      <c r="C22" s="491">
        <f t="shared" si="10"/>
        <v>0</v>
      </c>
      <c r="D22" s="491">
        <f>SUM(G22:R22)</f>
        <v>0</v>
      </c>
      <c r="E22" s="491"/>
      <c r="F22" s="491"/>
      <c r="G22" s="491"/>
      <c r="H22" s="491"/>
    </row>
    <row r="23" spans="1:39" hidden="1">
      <c r="A23" s="483"/>
      <c r="B23" s="481" t="s">
        <v>41</v>
      </c>
      <c r="C23" s="491">
        <f t="shared" si="10"/>
        <v>0</v>
      </c>
      <c r="D23" s="491">
        <f>SUM(G23:R23)</f>
        <v>0</v>
      </c>
      <c r="E23" s="491"/>
      <c r="F23" s="491"/>
      <c r="G23" s="491"/>
      <c r="H23" s="491"/>
    </row>
    <row r="24" spans="1:39">
      <c r="A24" s="483"/>
      <c r="B24" s="481" t="s">
        <v>42</v>
      </c>
      <c r="C24" s="491">
        <f t="shared" si="10"/>
        <v>0</v>
      </c>
      <c r="D24" s="491">
        <f>SUM(F24:Q24)</f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f>Jan!$K41</f>
        <v>0</v>
      </c>
      <c r="V24" s="491">
        <f>Feb!$K41</f>
        <v>0</v>
      </c>
      <c r="W24" s="491">
        <f>Mar!$K41</f>
        <v>0</v>
      </c>
      <c r="X24" s="491">
        <f>Apr!$K41</f>
        <v>0</v>
      </c>
      <c r="Y24" s="491">
        <f>May!$K41</f>
        <v>0</v>
      </c>
      <c r="Z24" s="491">
        <f>Jun!$K41</f>
        <v>0</v>
      </c>
      <c r="AA24" s="491">
        <f>Jul!$K41</f>
        <v>0</v>
      </c>
      <c r="AB24" s="491">
        <f>Aug!$K41</f>
        <v>0</v>
      </c>
      <c r="AC24" s="491">
        <f>Sep!$K41</f>
        <v>0</v>
      </c>
      <c r="AD24" s="491">
        <f>Oct!$K41</f>
        <v>0</v>
      </c>
      <c r="AE24" s="491">
        <f>Nov!$K41</f>
        <v>0</v>
      </c>
      <c r="AF24" s="491">
        <f>Dec!$K41</f>
        <v>0</v>
      </c>
      <c r="AG24" s="491"/>
    </row>
    <row r="25" spans="1:39" hidden="1">
      <c r="A25" s="483"/>
      <c r="B25" s="481" t="s">
        <v>43</v>
      </c>
      <c r="C25" s="491">
        <f t="shared" ref="C25:C26" si="11">SUM(I25:T25)</f>
        <v>0</v>
      </c>
      <c r="D25" s="491">
        <f>SUM(G25:R25)</f>
        <v>0</v>
      </c>
      <c r="E25" s="491"/>
      <c r="F25" s="491"/>
      <c r="G25" s="491"/>
      <c r="H25" s="491"/>
    </row>
    <row r="26" spans="1:39" hidden="1">
      <c r="A26" s="483"/>
      <c r="B26" s="481" t="s">
        <v>74</v>
      </c>
      <c r="C26" s="491">
        <f t="shared" si="11"/>
        <v>0</v>
      </c>
      <c r="D26" s="491">
        <f>SUM(G26:R26)</f>
        <v>0</v>
      </c>
      <c r="E26" s="491"/>
      <c r="F26" s="491"/>
      <c r="G26" s="491"/>
      <c r="H26" s="491"/>
    </row>
    <row r="27" spans="1:39" ht="16" thickBot="1">
      <c r="A27" s="483"/>
      <c r="B27" s="481" t="s">
        <v>21</v>
      </c>
      <c r="C27" s="542">
        <f>SUM(U27:AF27)</f>
        <v>57134810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2">SUM(G19:G26)</f>
        <v>9508099</v>
      </c>
      <c r="H27" s="542">
        <f t="shared" si="12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F27" si="13">SUM(U19:U26)</f>
        <v>11809937</v>
      </c>
      <c r="V27" s="542">
        <f t="shared" si="13"/>
        <v>7940694</v>
      </c>
      <c r="W27" s="542">
        <f t="shared" si="13"/>
        <v>7017973</v>
      </c>
      <c r="X27" s="542">
        <f t="shared" si="13"/>
        <v>5254736</v>
      </c>
      <c r="Y27" s="542">
        <f t="shared" si="13"/>
        <v>2699945</v>
      </c>
      <c r="Z27" s="542">
        <f t="shared" si="13"/>
        <v>2074520</v>
      </c>
      <c r="AA27" s="542">
        <f t="shared" si="13"/>
        <v>1954290</v>
      </c>
      <c r="AB27" s="542">
        <f t="shared" si="13"/>
        <v>2252954</v>
      </c>
      <c r="AC27" s="542">
        <f t="shared" si="13"/>
        <v>2632656</v>
      </c>
      <c r="AD27" s="542">
        <f t="shared" si="13"/>
        <v>3869259</v>
      </c>
      <c r="AE27" s="542">
        <f t="shared" si="13"/>
        <v>9627846</v>
      </c>
      <c r="AF27" s="542">
        <f t="shared" si="13"/>
        <v>0</v>
      </c>
    </row>
    <row r="28" spans="1:39" ht="16" thickTop="1">
      <c r="A28" s="483"/>
      <c r="B28" s="481" t="s">
        <v>269</v>
      </c>
      <c r="C28" s="491">
        <f>SUM(U28:AF28)</f>
        <v>41005049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/>
      <c r="AD28" s="543"/>
      <c r="AE28" s="543"/>
      <c r="AF28" s="543"/>
    </row>
    <row r="29" spans="1:39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</row>
    <row r="30" spans="1:39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4">U30+1</f>
        <v>201502</v>
      </c>
      <c r="W30" s="484">
        <f t="shared" si="14"/>
        <v>201503</v>
      </c>
      <c r="X30" s="484">
        <f t="shared" si="14"/>
        <v>201504</v>
      </c>
      <c r="Y30" s="484">
        <f t="shared" si="14"/>
        <v>201505</v>
      </c>
      <c r="Z30" s="484">
        <f t="shared" si="14"/>
        <v>201506</v>
      </c>
      <c r="AA30" s="484">
        <f t="shared" si="14"/>
        <v>201507</v>
      </c>
      <c r="AB30" s="484">
        <f t="shared" si="14"/>
        <v>201508</v>
      </c>
      <c r="AC30" s="484">
        <f t="shared" si="14"/>
        <v>201509</v>
      </c>
      <c r="AD30" s="484">
        <f t="shared" si="14"/>
        <v>201510</v>
      </c>
      <c r="AE30" s="484">
        <f t="shared" si="14"/>
        <v>201511</v>
      </c>
      <c r="AF30" s="484">
        <f t="shared" si="14"/>
        <v>201512</v>
      </c>
    </row>
    <row r="31" spans="1:39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270</v>
      </c>
      <c r="AF31" s="492" t="s">
        <v>270</v>
      </c>
      <c r="AH31" s="707"/>
      <c r="AI31" s="708"/>
      <c r="AJ31" s="708"/>
      <c r="AK31" s="708"/>
      <c r="AL31" s="708"/>
      <c r="AM31" s="564"/>
    </row>
    <row r="32" spans="1:39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270</v>
      </c>
      <c r="AF32" s="492" t="s">
        <v>270</v>
      </c>
      <c r="AH32" s="708"/>
      <c r="AI32" s="708"/>
      <c r="AJ32" s="708"/>
      <c r="AK32" s="708"/>
      <c r="AL32" s="708"/>
    </row>
    <row r="33" spans="1:39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H33" s="708"/>
      <c r="AI33" s="708"/>
      <c r="AJ33" s="708"/>
      <c r="AK33" s="708"/>
      <c r="AL33" s="708"/>
    </row>
    <row r="34" spans="1:39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H34" s="708"/>
      <c r="AI34" s="708"/>
      <c r="AJ34" s="708"/>
      <c r="AK34" s="708"/>
      <c r="AL34" s="708"/>
    </row>
    <row r="35" spans="1:39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H35" s="708"/>
      <c r="AI35" s="708"/>
      <c r="AJ35" s="708"/>
      <c r="AK35" s="708"/>
      <c r="AL35" s="708"/>
    </row>
    <row r="36" spans="1:39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270</v>
      </c>
      <c r="AF36" s="492" t="s">
        <v>270</v>
      </c>
      <c r="AH36" s="708"/>
      <c r="AI36" s="708"/>
      <c r="AJ36" s="708"/>
      <c r="AK36" s="708"/>
      <c r="AL36" s="708"/>
    </row>
    <row r="37" spans="1:39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</row>
    <row r="38" spans="1:39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</row>
    <row r="39" spans="1:39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H39" s="564"/>
    </row>
    <row r="40" spans="1:39" s="483" customFormat="1" ht="16" thickBot="1">
      <c r="A40" s="536">
        <v>191000</v>
      </c>
      <c r="B40" s="485" t="s">
        <v>256</v>
      </c>
      <c r="C40" s="486" t="s">
        <v>251</v>
      </c>
      <c r="D40" s="688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5">U40+1</f>
        <v>201502</v>
      </c>
      <c r="W40" s="484">
        <f t="shared" si="15"/>
        <v>201503</v>
      </c>
      <c r="X40" s="484">
        <f t="shared" si="15"/>
        <v>201504</v>
      </c>
      <c r="Y40" s="484">
        <f t="shared" si="15"/>
        <v>201505</v>
      </c>
      <c r="Z40" s="484">
        <f t="shared" si="15"/>
        <v>201506</v>
      </c>
      <c r="AA40" s="484">
        <f t="shared" si="15"/>
        <v>201507</v>
      </c>
      <c r="AB40" s="484">
        <f t="shared" si="15"/>
        <v>201508</v>
      </c>
      <c r="AC40" s="484">
        <f t="shared" si="15"/>
        <v>201509</v>
      </c>
      <c r="AD40" s="484">
        <f t="shared" si="15"/>
        <v>201510</v>
      </c>
      <c r="AE40" s="484">
        <f t="shared" si="15"/>
        <v>201511</v>
      </c>
      <c r="AF40" s="484">
        <f t="shared" si="15"/>
        <v>201512</v>
      </c>
      <c r="AH40" s="564"/>
      <c r="AI40" s="484"/>
    </row>
    <row r="41" spans="1:39" s="483" customFormat="1" ht="16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H41" s="513">
        <f>AH4</f>
        <v>201508</v>
      </c>
      <c r="AI41" s="526"/>
      <c r="AJ41" s="514"/>
      <c r="AK41" s="514"/>
      <c r="AL41" s="514"/>
      <c r="AM41" s="515"/>
    </row>
    <row r="42" spans="1:39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f>T47</f>
        <v>-1737468.3702166961</v>
      </c>
      <c r="V42" s="482">
        <f>U47</f>
        <v>-1379625.346046696</v>
      </c>
      <c r="W42" s="482">
        <f t="shared" ref="W42:AE42" si="16">V47</f>
        <v>-1139196.8415066958</v>
      </c>
      <c r="X42" s="482">
        <f t="shared" si="16"/>
        <v>-927936.74257669575</v>
      </c>
      <c r="Y42" s="482">
        <f t="shared" si="16"/>
        <v>-767403.9580847763</v>
      </c>
      <c r="Z42" s="482">
        <f t="shared" si="16"/>
        <v>-685903.92338007619</v>
      </c>
      <c r="AA42" s="482">
        <f t="shared" si="16"/>
        <v>-623363.07088572613</v>
      </c>
      <c r="AB42" s="482">
        <f t="shared" si="16"/>
        <v>-564427.81872858922</v>
      </c>
      <c r="AC42" s="482">
        <f t="shared" si="16"/>
        <v>-496357.29729955469</v>
      </c>
      <c r="AD42" s="482">
        <f t="shared" si="16"/>
        <v>-416678.50147523766</v>
      </c>
      <c r="AE42" s="482">
        <f t="shared" si="16"/>
        <v>-299312.54063388787</v>
      </c>
      <c r="AF42" s="482">
        <f>AE47</f>
        <v>-299561.96775108279</v>
      </c>
      <c r="AH42" s="497" t="s">
        <v>308</v>
      </c>
      <c r="AI42" s="527">
        <v>419600</v>
      </c>
      <c r="AJ42" s="498" t="s">
        <v>288</v>
      </c>
      <c r="AK42" s="498" t="s">
        <v>291</v>
      </c>
      <c r="AL42" s="519">
        <v>0</v>
      </c>
      <c r="AM42" s="520">
        <f>IF(SUMIF(U40:AF40,AH41,U44:AF44)&gt;0,SUMIF(U40:AF40,AH41,U44:AF44),0)</f>
        <v>0</v>
      </c>
    </row>
    <row r="43" spans="1:39">
      <c r="B43" s="481" t="s">
        <v>23</v>
      </c>
      <c r="C43" s="482">
        <f>SUM(U43:AF43)</f>
        <v>1444686.7752400001</v>
      </c>
      <c r="D43" s="491">
        <f>SUM(F43:Q43)</f>
        <v>-10808.645800000002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17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Z43" si="18">SUMPRODUCT(V19:V26,V31:V38)</f>
        <v>241476.50453999999</v>
      </c>
      <c r="W43" s="482">
        <f t="shared" si="18"/>
        <v>213416.55893</v>
      </c>
      <c r="X43" s="482">
        <f t="shared" si="18"/>
        <v>159796.52176</v>
      </c>
      <c r="Y43" s="482">
        <f t="shared" si="18"/>
        <v>82105.327449999997</v>
      </c>
      <c r="Z43" s="482">
        <f t="shared" si="18"/>
        <v>63086.153200000001</v>
      </c>
      <c r="AA43" s="482">
        <f>SUMPRODUCT(AA19:AA26,AA31:AA38)</f>
        <v>59429.958899999998</v>
      </c>
      <c r="AB43" s="482">
        <f t="shared" ref="AB43:AD43" si="19">SUMPRODUCT(AB19:AB26,AB31:AB38)</f>
        <v>68512.331139999995</v>
      </c>
      <c r="AC43" s="482">
        <f t="shared" si="19"/>
        <v>80059.068960000004</v>
      </c>
      <c r="AD43" s="482">
        <f t="shared" si="19"/>
        <v>117664.16618999999</v>
      </c>
      <c r="AE43" s="563"/>
      <c r="AF43" s="563"/>
      <c r="AH43" s="499" t="s">
        <v>309</v>
      </c>
      <c r="AI43" s="528">
        <v>431600</v>
      </c>
      <c r="AJ43" s="358" t="s">
        <v>288</v>
      </c>
      <c r="AK43" s="358" t="s">
        <v>291</v>
      </c>
      <c r="AL43" s="381">
        <f>IF(SUMIF(U40:AF40,AH41,U44:AF44)&lt;0,-SUMIF(U40:AF40,AH41,U44:AF44),0)</f>
        <v>441.80971096549104</v>
      </c>
      <c r="AM43" s="500">
        <v>0</v>
      </c>
    </row>
    <row r="44" spans="1:39">
      <c r="B44" s="481" t="s">
        <v>4</v>
      </c>
      <c r="C44" s="482">
        <f t="shared" ref="C44:C46" si="20">SUM(U44:AF44)</f>
        <v>-7174.6277475130237</v>
      </c>
      <c r="D44" s="491">
        <f>SUM(F44:Q44)</f>
        <v>1068.3629816064952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f>(((X42+X46)*(X41/12))+((X43/2)*(X41/12)))</f>
        <v>-705.49726808057983</v>
      </c>
      <c r="Y44" s="489">
        <f t="shared" ref="Y44:AD44" si="21">((Y42*(Y41/12))+((Y43/2)*(Y41/12)))</f>
        <v>-605.29274529981353</v>
      </c>
      <c r="Z44" s="489">
        <f t="shared" si="21"/>
        <v>-545.30070565006349</v>
      </c>
      <c r="AA44" s="489">
        <f t="shared" si="21"/>
        <v>-494.70674286310515</v>
      </c>
      <c r="AB44" s="489">
        <f t="shared" si="21"/>
        <v>-441.80971096549104</v>
      </c>
      <c r="AC44" s="489">
        <f t="shared" si="21"/>
        <v>-380.27313568296228</v>
      </c>
      <c r="AD44" s="489">
        <f t="shared" si="21"/>
        <v>-298.20534865019806</v>
      </c>
      <c r="AE44" s="560">
        <f>((AE42+AE45)*(AE41/12))+(((AE43+AE46)/2)*(AE41/12))</f>
        <v>-249.42711719490657</v>
      </c>
      <c r="AF44" s="560">
        <f t="shared" ref="AF44" si="22">((AF42*(AF41/12))+((AF43/2)*(AF41/12)))</f>
        <v>-249.63497312590235</v>
      </c>
      <c r="AH44" s="499" t="s">
        <v>310</v>
      </c>
      <c r="AI44" s="528">
        <v>191000</v>
      </c>
      <c r="AJ44" s="358" t="s">
        <v>288</v>
      </c>
      <c r="AK44" s="358" t="s">
        <v>291</v>
      </c>
      <c r="AL44" s="381">
        <f>IF((SUMIF(U40:AF40,AH41,U43:AF43)+SUMIF(U40:AF40,AH41,U44:AF44))&gt;0,(SUMIF(U40:AF40,AH41,U43:AF43)+SUMIF(U40:AF40,AH41,U44:AF44)),0)</f>
        <v>68070.521429034503</v>
      </c>
      <c r="AM44" s="500">
        <f>IF((SUMIF(U40:AF40,AH41,U43:AF43)+SUMIF(U40:AF40,AH41,U44:AF44))&lt;0,-(SUMIF(U40:AF40,AH41,U43:AF43)+SUMIF(U40:AF40,AH41,U44:AF44)),0)</f>
        <v>0</v>
      </c>
    </row>
    <row r="45" spans="1:39">
      <c r="B45" s="481" t="s">
        <v>259</v>
      </c>
      <c r="C45" s="482">
        <f t="shared" si="20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63">
        <f>-AE9-AE10-AE11</f>
        <v>0</v>
      </c>
      <c r="AF45" s="563">
        <v>0</v>
      </c>
      <c r="AH45" s="499" t="s">
        <v>311</v>
      </c>
      <c r="AI45" s="528">
        <v>805110</v>
      </c>
      <c r="AJ45" s="358" t="s">
        <v>288</v>
      </c>
      <c r="AK45" s="358" t="s">
        <v>291</v>
      </c>
      <c r="AL45" s="381">
        <f>IF((SUMIF(U40:AF40,AH41,U43:AF43))&lt;0,-(SUMIF(U40:AF40,AH41,U43:AF43)),0)</f>
        <v>0</v>
      </c>
      <c r="AM45" s="500">
        <f>IF((SUMIF(U40:AF40,AH41,U43:AF43))&gt;0,(SUMIF(U40:AF40,AH41,U43:AF43)),0)</f>
        <v>68512.331139999995</v>
      </c>
    </row>
    <row r="46" spans="1:39">
      <c r="B46" s="481" t="s">
        <v>148</v>
      </c>
      <c r="C46" s="482">
        <f t="shared" si="20"/>
        <v>144.61999999999989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63"/>
      <c r="AF46" s="563">
        <f>-AE46*2</f>
        <v>0</v>
      </c>
      <c r="AH46" s="499" t="s">
        <v>156</v>
      </c>
      <c r="AI46" s="528">
        <f t="shared" ref="AI46:AK47" si="23">AI44</f>
        <v>191000</v>
      </c>
      <c r="AJ46" s="528" t="str">
        <f t="shared" si="23"/>
        <v>GD</v>
      </c>
      <c r="AK46" s="528" t="str">
        <f t="shared" si="23"/>
        <v>ID</v>
      </c>
      <c r="AL46" s="381">
        <v>0</v>
      </c>
      <c r="AM46" s="500"/>
    </row>
    <row r="47" spans="1:39" ht="16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24">SUM(F42:F46)</f>
        <v>122203.74560073584</v>
      </c>
      <c r="G47" s="541">
        <f t="shared" si="24"/>
        <v>121907.05607206978</v>
      </c>
      <c r="H47" s="541">
        <f t="shared" si="24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F47" si="25">SUM(V42:V46)</f>
        <v>-1139196.8415066958</v>
      </c>
      <c r="W47" s="541">
        <f t="shared" si="25"/>
        <v>-927936.74257669575</v>
      </c>
      <c r="X47" s="541">
        <f t="shared" si="25"/>
        <v>-767403.9580847763</v>
      </c>
      <c r="Y47" s="541">
        <f t="shared" si="25"/>
        <v>-685903.92338007619</v>
      </c>
      <c r="Z47" s="541">
        <f t="shared" si="25"/>
        <v>-623363.07088572613</v>
      </c>
      <c r="AA47" s="541">
        <f t="shared" si="25"/>
        <v>-564427.81872858922</v>
      </c>
      <c r="AB47" s="541">
        <f t="shared" si="25"/>
        <v>-496357.29729955469</v>
      </c>
      <c r="AC47" s="541">
        <f t="shared" si="25"/>
        <v>-416678.50147523766</v>
      </c>
      <c r="AD47" s="541">
        <f t="shared" si="25"/>
        <v>-299312.54063388787</v>
      </c>
      <c r="AE47" s="541">
        <f t="shared" si="25"/>
        <v>-299561.96775108279</v>
      </c>
      <c r="AF47" s="541">
        <f t="shared" si="25"/>
        <v>-299811.60272420867</v>
      </c>
      <c r="AH47" s="501" t="str">
        <f>AH46</f>
        <v>Large Customer Refund</v>
      </c>
      <c r="AI47" s="529">
        <f t="shared" si="23"/>
        <v>805110</v>
      </c>
      <c r="AJ47" s="529" t="str">
        <f t="shared" si="23"/>
        <v>GD</v>
      </c>
      <c r="AK47" s="529" t="str">
        <f t="shared" si="23"/>
        <v>ID</v>
      </c>
      <c r="AL47" s="503"/>
      <c r="AM47" s="521">
        <v>0</v>
      </c>
    </row>
    <row r="48" spans="1:39" ht="16.5" thickTop="1" thickBot="1">
      <c r="B48" s="481" t="s">
        <v>260</v>
      </c>
      <c r="E48" s="482" t="e">
        <f ca="1">_xll.Get_Balance(E40,"YTD","USD","Total","A","","001",$A$40,"GD","ID","DL")</f>
        <v>#NAME?</v>
      </c>
      <c r="F48" s="482" t="e">
        <f ca="1">_xll.Get_Balance(F40,"YTD","USD","Total","A","","001",$A$40,"GD","ID","DL")</f>
        <v>#NAME?</v>
      </c>
      <c r="G48" s="482" t="e">
        <f ca="1">_xll.Get_Balance(G40,"YTD","USD","Total","A","","001",$A$40,"GD","ID","DL")</f>
        <v>#NAME?</v>
      </c>
      <c r="H48" s="482" t="e">
        <f ca="1">_xll.Get_Balance(H40,"YTD","USD","Total","A","","001",$A$40,"GD","ID","DL")</f>
        <v>#NAME?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 t="e">
        <f ca="1">_xll.Get_Balance(S40,"YTD","USD","Total","A","","001",$A$40,"GD","ID","DL")</f>
        <v>#NAME?</v>
      </c>
      <c r="T48" s="482" t="e">
        <f ca="1">_xll.Get_Balance(T40,"YTD","USD","Total","A","","001",$A$40,"GD","ID","DL")</f>
        <v>#NAME?</v>
      </c>
      <c r="U48" s="482" t="e">
        <f ca="1">_xll.Get_Balance(U40,"YTD","USD","Total","A","","001",$A$40,"GD","ID","DL")</f>
        <v>#NAME?</v>
      </c>
      <c r="V48" s="482" t="e">
        <f ca="1">_xll.Get_Balance(V40,"YTD","USD","Total","A","","001",$A$40,"GD","ID","DL")</f>
        <v>#NAME?</v>
      </c>
      <c r="W48" s="482" t="e">
        <f ca="1">_xll.Get_Balance(W40,"YTD","USD","Total","A","","001",$A$40,"GD","ID","DL")</f>
        <v>#NAME?</v>
      </c>
      <c r="X48" s="482" t="e">
        <f ca="1">_xll.Get_Balance(X40,"YTD","USD","Total","A","","001",$A$40,"GD","ID","DL")</f>
        <v>#NAME?</v>
      </c>
      <c r="Y48" s="482" t="e">
        <f ca="1">_xll.Get_Balance(Y40,"YTD","USD","Total","A","","001",$A$40,"GD","ID","DL")</f>
        <v>#NAME?</v>
      </c>
      <c r="Z48" s="482" t="e">
        <f ca="1">_xll.Get_Balance(Z40,"YTD","USD","Total","A","","001",$A$40,"GD","ID","DL")</f>
        <v>#NAME?</v>
      </c>
      <c r="AA48" s="482" t="e">
        <f ca="1">_xll.Get_Balance(AA40,"YTD","USD","Total","A","","001",$A$40,"GD","ID","DL")</f>
        <v>#NAME?</v>
      </c>
      <c r="AB48" s="482" t="e">
        <f ca="1">_xll.Get_Balance(AB40,"YTD","USD","Total","A","","001",$A$40,"GD","ID","DL")</f>
        <v>#NAME?</v>
      </c>
      <c r="AC48" s="482" t="e">
        <f ca="1">_xll.Get_Balance(AC40,"YTD","USD","Total","A","","001",$A$40,"GD","ID","DL")</f>
        <v>#NAME?</v>
      </c>
      <c r="AD48" s="482" t="e">
        <f ca="1">_xll.Get_Balance(AD40,"YTD","USD","Total","A","","001",$A$40,"GD","ID","DL")</f>
        <v>#NAME?</v>
      </c>
      <c r="AE48" s="482" t="e">
        <f ca="1">_xll.Get_Balance(AE40,"YTD","USD","Total","A","","001",$A$40,"GD","ID","DL")</f>
        <v>#NAME?</v>
      </c>
      <c r="AF48" s="482" t="e">
        <f ca="1">_xll.Get_Balance(AF40,"YTD","USD","Total","A","","001",$A$40,"GD","ID","DL")</f>
        <v>#NAME?</v>
      </c>
      <c r="AH48" s="516"/>
      <c r="AI48" s="530"/>
      <c r="AJ48" s="517"/>
      <c r="AK48" s="517"/>
      <c r="AL48" s="517" t="s">
        <v>159</v>
      </c>
      <c r="AM48" s="518">
        <f>SUM(AL42:AL47)-SUM(AM42:AM47)</f>
        <v>0</v>
      </c>
    </row>
    <row r="49" spans="1:33">
      <c r="B49" s="481" t="s">
        <v>245</v>
      </c>
      <c r="E49" s="482" t="e">
        <f t="shared" ref="E49:H49" ca="1" si="26">E47-E48</f>
        <v>#NAME?</v>
      </c>
      <c r="F49" s="482" t="e">
        <f t="shared" ca="1" si="26"/>
        <v>#NAME?</v>
      </c>
      <c r="G49" s="482" t="e">
        <f t="shared" ca="1" si="26"/>
        <v>#NAME?</v>
      </c>
      <c r="H49" s="482" t="e">
        <f t="shared" ca="1" si="26"/>
        <v>#NAME?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 t="e">
        <f ca="1">S47-S48</f>
        <v>#NAME?</v>
      </c>
      <c r="T49" s="482" t="e">
        <f ca="1">T47-T48</f>
        <v>#NAME?</v>
      </c>
      <c r="U49" s="482" t="e">
        <f ca="1">U47-U48</f>
        <v>#NAME?</v>
      </c>
      <c r="V49" s="482" t="e">
        <f t="shared" ref="V49:AG49" ca="1" si="27">V47-V48</f>
        <v>#NAME?</v>
      </c>
      <c r="W49" s="482" t="e">
        <f t="shared" ca="1" si="27"/>
        <v>#NAME?</v>
      </c>
      <c r="X49" s="482" t="e">
        <f t="shared" ca="1" si="27"/>
        <v>#NAME?</v>
      </c>
      <c r="Y49" s="482" t="e">
        <f t="shared" ca="1" si="27"/>
        <v>#NAME?</v>
      </c>
      <c r="Z49" s="482" t="e">
        <f t="shared" ca="1" si="27"/>
        <v>#NAME?</v>
      </c>
      <c r="AA49" s="482" t="e">
        <f t="shared" ca="1" si="27"/>
        <v>#NAME?</v>
      </c>
      <c r="AB49" s="482" t="e">
        <f t="shared" ca="1" si="27"/>
        <v>#NAME?</v>
      </c>
      <c r="AC49" s="482" t="e">
        <f t="shared" ca="1" si="27"/>
        <v>#NAME?</v>
      </c>
      <c r="AD49" s="482" t="e">
        <f t="shared" ca="1" si="27"/>
        <v>#NAME?</v>
      </c>
      <c r="AE49" s="482" t="e">
        <f t="shared" ca="1" si="27"/>
        <v>#NAME?</v>
      </c>
      <c r="AF49" s="482" t="e">
        <f t="shared" ca="1" si="27"/>
        <v>#NAME?</v>
      </c>
      <c r="AG49" s="482">
        <f t="shared" si="27"/>
        <v>0</v>
      </c>
    </row>
    <row r="50" spans="1:33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</row>
    <row r="51" spans="1:33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28">U51+1</f>
        <v>201502</v>
      </c>
      <c r="W51" s="484">
        <f t="shared" si="28"/>
        <v>201503</v>
      </c>
      <c r="X51" s="484">
        <f t="shared" si="28"/>
        <v>201504</v>
      </c>
      <c r="Y51" s="484">
        <f t="shared" si="28"/>
        <v>201505</v>
      </c>
      <c r="Z51" s="484">
        <f t="shared" si="28"/>
        <v>201506</v>
      </c>
      <c r="AA51" s="484">
        <f t="shared" si="28"/>
        <v>201507</v>
      </c>
      <c r="AB51" s="484">
        <f t="shared" si="28"/>
        <v>201508</v>
      </c>
      <c r="AC51" s="484">
        <f t="shared" si="28"/>
        <v>201509</v>
      </c>
      <c r="AD51" s="484">
        <f t="shared" si="28"/>
        <v>201510</v>
      </c>
      <c r="AE51" s="484">
        <f t="shared" si="28"/>
        <v>201511</v>
      </c>
      <c r="AF51" s="484">
        <f t="shared" si="28"/>
        <v>201512</v>
      </c>
    </row>
    <row r="52" spans="1:33">
      <c r="A52" s="483"/>
      <c r="B52" s="481" t="s">
        <v>37</v>
      </c>
      <c r="C52" s="491">
        <f>SUM(U52:AF52)</f>
        <v>39097164</v>
      </c>
      <c r="D52" s="491">
        <f>SUM(F52:Q52)</f>
        <v>52384687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f>Jan!$K36</f>
        <v>8991869</v>
      </c>
      <c r="V52" s="491">
        <f>Feb!$K36</f>
        <v>5607449</v>
      </c>
      <c r="W52" s="491">
        <f>Mar!$K36</f>
        <v>5090227</v>
      </c>
      <c r="X52" s="491">
        <f>Apr!$K36</f>
        <v>3621515</v>
      </c>
      <c r="Y52" s="491">
        <f>May!$K36</f>
        <v>1624041</v>
      </c>
      <c r="Z52" s="491">
        <f>Jun!$K36</f>
        <v>985347</v>
      </c>
      <c r="AA52" s="491">
        <f>Jul!$K36</f>
        <v>990038</v>
      </c>
      <c r="AB52" s="491">
        <f>Aug!$K36</f>
        <v>930531</v>
      </c>
      <c r="AC52" s="491">
        <f>Sep!$K36</f>
        <v>1531464</v>
      </c>
      <c r="AD52" s="491">
        <f>Oct!$K36</f>
        <v>2476612</v>
      </c>
      <c r="AE52" s="491">
        <f>Nov!$K36</f>
        <v>7248071</v>
      </c>
      <c r="AF52" s="491">
        <f>Dec!$K36</f>
        <v>0</v>
      </c>
      <c r="AG52" s="491">
        <f>Jan!$K36</f>
        <v>8991869</v>
      </c>
    </row>
    <row r="53" spans="1:33">
      <c r="A53" s="483"/>
      <c r="B53" s="481" t="s">
        <v>38</v>
      </c>
      <c r="C53" s="491">
        <f t="shared" ref="C53:C60" si="29">SUM(U53:AF53)</f>
        <v>18037646</v>
      </c>
      <c r="D53" s="491">
        <f>SUM(F53:Q53)</f>
        <v>20863784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f>Jan!$K37</f>
        <v>2818068</v>
      </c>
      <c r="V53" s="491">
        <f>Feb!$K37</f>
        <v>2333245</v>
      </c>
      <c r="W53" s="491">
        <f>Mar!$K37</f>
        <v>1927746</v>
      </c>
      <c r="X53" s="491">
        <f>Apr!$K37</f>
        <v>1633221</v>
      </c>
      <c r="Y53" s="491">
        <f>May!$K37</f>
        <v>1075904</v>
      </c>
      <c r="Z53" s="491">
        <f>Jun!$K37</f>
        <v>1089173</v>
      </c>
      <c r="AA53" s="491">
        <f>Jul!$K37</f>
        <v>964252</v>
      </c>
      <c r="AB53" s="491">
        <f>Aug!$K37</f>
        <v>1322423</v>
      </c>
      <c r="AC53" s="491">
        <f>Sep!$K37</f>
        <v>1101192</v>
      </c>
      <c r="AD53" s="491">
        <f>Oct!$K37</f>
        <v>1392647</v>
      </c>
      <c r="AE53" s="491">
        <f>Nov!$K37</f>
        <v>2379775</v>
      </c>
      <c r="AF53" s="491">
        <f>Dec!$K37</f>
        <v>0</v>
      </c>
      <c r="AG53" s="491">
        <f>Jan!$K37</f>
        <v>2818068</v>
      </c>
    </row>
    <row r="54" spans="1:33">
      <c r="A54" s="483"/>
      <c r="B54" s="481" t="s">
        <v>39</v>
      </c>
      <c r="C54" s="491">
        <f t="shared" si="29"/>
        <v>246353</v>
      </c>
      <c r="D54" s="491">
        <f>SUM(F54:Q54)</f>
        <v>216282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f>Jan!$K38</f>
        <v>2994</v>
      </c>
      <c r="V54" s="491">
        <f>Feb!$K38</f>
        <v>1973</v>
      </c>
      <c r="W54" s="491">
        <f>Mar!$K38</f>
        <v>871</v>
      </c>
      <c r="X54" s="491">
        <f>Apr!$K38</f>
        <v>5610</v>
      </c>
      <c r="Y54" s="491">
        <f>May!$K38</f>
        <v>18173</v>
      </c>
      <c r="Z54" s="491">
        <f>Jun!$K38</f>
        <v>21920</v>
      </c>
      <c r="AA54" s="491">
        <f>Jul!$K38</f>
        <v>28026</v>
      </c>
      <c r="AB54" s="491">
        <f>Aug!$K38</f>
        <v>47622</v>
      </c>
      <c r="AC54" s="491">
        <f>Sep!$K38</f>
        <v>26734</v>
      </c>
      <c r="AD54" s="491">
        <f>Oct!$K38</f>
        <v>68934</v>
      </c>
      <c r="AE54" s="491">
        <f>Nov!$K38</f>
        <v>23496</v>
      </c>
      <c r="AF54" s="491">
        <f>Dec!$K38</f>
        <v>0</v>
      </c>
      <c r="AG54" s="491">
        <f>Jan!$K38</f>
        <v>2994</v>
      </c>
    </row>
    <row r="55" spans="1:33">
      <c r="A55" s="483"/>
      <c r="B55" s="481" t="s">
        <v>40</v>
      </c>
      <c r="C55" s="491">
        <f t="shared" si="29"/>
        <v>0</v>
      </c>
      <c r="D55" s="491">
        <f>SUM(F55:Q55)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f>Jan!$K39</f>
        <v>0</v>
      </c>
      <c r="V55" s="491">
        <f>Feb!$K39</f>
        <v>0</v>
      </c>
      <c r="W55" s="491">
        <f>Mar!$K39</f>
        <v>0</v>
      </c>
      <c r="X55" s="491">
        <f>Apr!$K39</f>
        <v>0</v>
      </c>
      <c r="Y55" s="491">
        <f>May!$K39</f>
        <v>0</v>
      </c>
      <c r="Z55" s="491">
        <f>Jun!$K39</f>
        <v>0</v>
      </c>
      <c r="AA55" s="491">
        <f>Jul!$K39</f>
        <v>0</v>
      </c>
      <c r="AB55" s="491">
        <f>Aug!$K39</f>
        <v>0</v>
      </c>
      <c r="AC55" s="491">
        <f>Sep!$K39</f>
        <v>0</v>
      </c>
      <c r="AD55" s="491">
        <f>Oct!$K39</f>
        <v>0</v>
      </c>
      <c r="AE55" s="491">
        <f>Nov!$K39</f>
        <v>0</v>
      </c>
      <c r="AF55" s="491">
        <f>Dec!$K39</f>
        <v>0</v>
      </c>
      <c r="AG55" s="491">
        <f>Jan!$K39</f>
        <v>0</v>
      </c>
    </row>
    <row r="56" spans="1:33" hidden="1">
      <c r="A56" s="483"/>
      <c r="B56" s="481" t="s">
        <v>41</v>
      </c>
      <c r="C56" s="491">
        <f t="shared" si="29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</row>
    <row r="57" spans="1:33" hidden="1">
      <c r="A57" s="483"/>
      <c r="B57" s="481" t="s">
        <v>42</v>
      </c>
      <c r="C57" s="491">
        <f t="shared" si="29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</row>
    <row r="58" spans="1:33">
      <c r="A58" s="483"/>
      <c r="B58" s="481" t="s">
        <v>43</v>
      </c>
      <c r="C58" s="491">
        <f t="shared" si="29"/>
        <v>148273</v>
      </c>
      <c r="D58" s="491">
        <f>SUM(F58:Q58)</f>
        <v>312916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f>Jan!$K42</f>
        <v>40458</v>
      </c>
      <c r="V58" s="491">
        <f>Feb!$K42</f>
        <v>33212</v>
      </c>
      <c r="W58" s="491">
        <f>Mar!$K42</f>
        <v>33140</v>
      </c>
      <c r="X58" s="491">
        <f>Apr!$K42</f>
        <v>25684</v>
      </c>
      <c r="Y58" s="491">
        <f>May!$K42</f>
        <v>15779</v>
      </c>
      <c r="Z58" s="491">
        <f>Jun!$K42</f>
        <v>0</v>
      </c>
      <c r="AA58" s="491">
        <f>Jul!$K42</f>
        <v>0</v>
      </c>
      <c r="AB58" s="491">
        <f>Aug!$K42</f>
        <v>0</v>
      </c>
      <c r="AC58" s="491">
        <f>Sep!$K42</f>
        <v>0</v>
      </c>
      <c r="AD58" s="491">
        <f>Oct!$K42</f>
        <v>0</v>
      </c>
      <c r="AE58" s="491">
        <f>Nov!$K42</f>
        <v>0</v>
      </c>
      <c r="AF58" s="491">
        <f>Dec!$K42</f>
        <v>0</v>
      </c>
      <c r="AG58" s="491">
        <f>Jan!$K42</f>
        <v>40458</v>
      </c>
    </row>
    <row r="59" spans="1:33" hidden="1">
      <c r="A59" s="483"/>
      <c r="B59" s="481" t="s">
        <v>74</v>
      </c>
      <c r="C59" s="491">
        <f t="shared" ref="C59" si="30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</row>
    <row r="60" spans="1:33" ht="16" thickBot="1">
      <c r="A60" s="483"/>
      <c r="B60" s="481" t="s">
        <v>21</v>
      </c>
      <c r="C60" s="542">
        <f t="shared" si="29"/>
        <v>57529436</v>
      </c>
      <c r="D60" s="542">
        <f>SUM(F60:Q60)</f>
        <v>73777669</v>
      </c>
      <c r="E60" s="542" t="s">
        <v>272</v>
      </c>
      <c r="F60" s="542">
        <f>SUM(F52:F59)</f>
        <v>0</v>
      </c>
      <c r="G60" s="542">
        <f t="shared" ref="G60:H60" si="31">SUM(G52:G59)</f>
        <v>9560411</v>
      </c>
      <c r="H60" s="542">
        <f t="shared" si="31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F60" si="32">SUM(U52:U59)</f>
        <v>11853389</v>
      </c>
      <c r="V60" s="542">
        <f t="shared" si="32"/>
        <v>7975879</v>
      </c>
      <c r="W60" s="542">
        <f t="shared" si="32"/>
        <v>7051984</v>
      </c>
      <c r="X60" s="542">
        <f t="shared" si="32"/>
        <v>5286030</v>
      </c>
      <c r="Y60" s="542">
        <f t="shared" si="32"/>
        <v>2733897</v>
      </c>
      <c r="Z60" s="542">
        <f t="shared" si="32"/>
        <v>2096440</v>
      </c>
      <c r="AA60" s="542">
        <f t="shared" si="32"/>
        <v>1982316</v>
      </c>
      <c r="AB60" s="542">
        <f t="shared" si="32"/>
        <v>2300576</v>
      </c>
      <c r="AC60" s="542">
        <f t="shared" si="32"/>
        <v>2659390</v>
      </c>
      <c r="AD60" s="542">
        <f t="shared" si="32"/>
        <v>3938193</v>
      </c>
      <c r="AE60" s="542">
        <f t="shared" si="32"/>
        <v>9651342</v>
      </c>
      <c r="AF60" s="542">
        <f t="shared" si="32"/>
        <v>0</v>
      </c>
    </row>
    <row r="61" spans="1:33" ht="16" thickTop="1">
      <c r="A61" s="483"/>
      <c r="B61" s="481" t="s">
        <v>269</v>
      </c>
      <c r="C61" s="491">
        <f>SUM(U61:AF61)</f>
        <v>41280511</v>
      </c>
      <c r="D61" s="491">
        <f>SUM(F61:Q61)</f>
        <v>73777669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f>Mar!K44</f>
        <v>7051984</v>
      </c>
      <c r="X61" s="543">
        <v>5286030</v>
      </c>
      <c r="Y61" s="684">
        <v>2733897</v>
      </c>
      <c r="Z61" s="543">
        <v>2096440</v>
      </c>
      <c r="AA61" s="543">
        <v>1982316</v>
      </c>
      <c r="AB61" s="543">
        <v>2300576</v>
      </c>
      <c r="AC61" s="543"/>
      <c r="AD61" s="543"/>
      <c r="AE61" s="543"/>
    </row>
    <row r="62" spans="1:33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</row>
    <row r="63" spans="1:33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33">U63+1</f>
        <v>201502</v>
      </c>
      <c r="W63" s="484">
        <f t="shared" si="33"/>
        <v>201503</v>
      </c>
      <c r="X63" s="484">
        <f t="shared" si="33"/>
        <v>201504</v>
      </c>
      <c r="Y63" s="484">
        <f t="shared" si="33"/>
        <v>201505</v>
      </c>
      <c r="Z63" s="484">
        <f t="shared" si="33"/>
        <v>201506</v>
      </c>
      <c r="AA63" s="484">
        <f t="shared" si="33"/>
        <v>201507</v>
      </c>
      <c r="AB63" s="484">
        <f t="shared" si="33"/>
        <v>201508</v>
      </c>
      <c r="AC63" s="484">
        <f t="shared" si="33"/>
        <v>201509</v>
      </c>
      <c r="AD63" s="484">
        <f t="shared" si="33"/>
        <v>201510</v>
      </c>
      <c r="AE63" s="484">
        <f t="shared" si="33"/>
        <v>201511</v>
      </c>
      <c r="AF63" s="484">
        <f t="shared" si="33"/>
        <v>201512</v>
      </c>
    </row>
    <row r="64" spans="1:33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</row>
    <row r="65" spans="1:39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</row>
    <row r="66" spans="1:39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</row>
    <row r="67" spans="1:39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H67" s="707" t="s">
        <v>330</v>
      </c>
      <c r="AI67" s="708"/>
      <c r="AJ67" s="708"/>
      <c r="AK67" s="708"/>
      <c r="AL67" s="708"/>
      <c r="AM67" s="708"/>
    </row>
    <row r="68" spans="1:39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H68" s="708"/>
      <c r="AI68" s="708"/>
      <c r="AJ68" s="708"/>
      <c r="AK68" s="708"/>
      <c r="AL68" s="708"/>
      <c r="AM68" s="708"/>
    </row>
    <row r="69" spans="1:39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H69" s="708"/>
      <c r="AI69" s="708"/>
      <c r="AJ69" s="708"/>
      <c r="AK69" s="708"/>
      <c r="AL69" s="708"/>
      <c r="AM69" s="708"/>
    </row>
    <row r="70" spans="1:39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H70" s="708"/>
      <c r="AI70" s="708"/>
      <c r="AJ70" s="708"/>
      <c r="AK70" s="708"/>
      <c r="AL70" s="708"/>
      <c r="AM70" s="708"/>
    </row>
    <row r="71" spans="1:39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H71" s="708"/>
      <c r="AI71" s="708"/>
      <c r="AJ71" s="708"/>
      <c r="AK71" s="708"/>
      <c r="AL71" s="708"/>
      <c r="AM71" s="708"/>
    </row>
    <row r="72" spans="1:39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H72" s="708"/>
      <c r="AI72" s="708"/>
      <c r="AJ72" s="708"/>
      <c r="AK72" s="708"/>
      <c r="AL72" s="708"/>
      <c r="AM72" s="708"/>
    </row>
    <row r="73" spans="1:39" s="483" customFormat="1" ht="16" thickBot="1">
      <c r="A73" s="536">
        <v>191015</v>
      </c>
      <c r="B73" s="485" t="s">
        <v>256</v>
      </c>
      <c r="C73" s="486" t="s">
        <v>251</v>
      </c>
      <c r="D73" s="688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34">U73+1</f>
        <v>201502</v>
      </c>
      <c r="W73" s="484">
        <f t="shared" si="34"/>
        <v>201503</v>
      </c>
      <c r="X73" s="484">
        <f t="shared" si="34"/>
        <v>201504</v>
      </c>
      <c r="Y73" s="484">
        <f t="shared" si="34"/>
        <v>201505</v>
      </c>
      <c r="Z73" s="484">
        <f t="shared" si="34"/>
        <v>201506</v>
      </c>
      <c r="AA73" s="484">
        <f t="shared" si="34"/>
        <v>201507</v>
      </c>
      <c r="AB73" s="484">
        <f t="shared" si="34"/>
        <v>201508</v>
      </c>
      <c r="AC73" s="484">
        <f t="shared" si="34"/>
        <v>201509</v>
      </c>
      <c r="AD73" s="484">
        <f t="shared" si="34"/>
        <v>201510</v>
      </c>
      <c r="AE73" s="484">
        <f t="shared" si="34"/>
        <v>201511</v>
      </c>
      <c r="AF73" s="484">
        <f t="shared" si="34"/>
        <v>201512</v>
      </c>
      <c r="AH73" s="564" t="s">
        <v>330</v>
      </c>
      <c r="AI73" s="525"/>
      <c r="AJ73" s="482"/>
      <c r="AK73" s="482"/>
      <c r="AL73" s="482"/>
      <c r="AM73" s="482"/>
    </row>
    <row r="74" spans="1:39" s="483" customFormat="1" ht="16" thickBot="1">
      <c r="A74" s="484"/>
      <c r="B74" s="485" t="s">
        <v>257</v>
      </c>
      <c r="C74" s="486"/>
      <c r="D74" s="688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H74" s="513">
        <f>AH4</f>
        <v>201508</v>
      </c>
      <c r="AI74" s="526"/>
      <c r="AJ74" s="514"/>
      <c r="AK74" s="514"/>
      <c r="AL74" s="523"/>
      <c r="AM74" s="515"/>
    </row>
    <row r="75" spans="1:39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f>U79</f>
        <v>-11881.722960675279</v>
      </c>
      <c r="W75" s="482">
        <f t="shared" ref="W75:AF75" si="35">V79</f>
        <v>-11901.532960675278</v>
      </c>
      <c r="X75" s="482">
        <f t="shared" si="35"/>
        <v>-11911.450904809175</v>
      </c>
      <c r="Y75" s="482">
        <f t="shared" si="35"/>
        <v>-11921.377113896517</v>
      </c>
      <c r="Z75" s="482">
        <f t="shared" si="35"/>
        <v>-11931.311594824763</v>
      </c>
      <c r="AA75" s="482">
        <f t="shared" si="35"/>
        <v>-11941.254354487117</v>
      </c>
      <c r="AB75" s="482">
        <f t="shared" si="35"/>
        <v>-11951.205399782522</v>
      </c>
      <c r="AC75" s="482">
        <f t="shared" si="35"/>
        <v>-11961.164737615674</v>
      </c>
      <c r="AD75" s="482">
        <f t="shared" si="35"/>
        <v>-11971.132374897021</v>
      </c>
      <c r="AE75" s="482">
        <f t="shared" si="35"/>
        <v>-11981.108318542769</v>
      </c>
      <c r="AF75" s="482">
        <f t="shared" si="35"/>
        <v>-11991.092575474888</v>
      </c>
      <c r="AH75" s="497" t="s">
        <v>308</v>
      </c>
      <c r="AI75" s="527">
        <v>419600</v>
      </c>
      <c r="AJ75" s="498" t="s">
        <v>288</v>
      </c>
      <c r="AK75" s="498" t="s">
        <v>291</v>
      </c>
      <c r="AL75" s="470">
        <f>IF(SUMIF(U72:AF72,AH73,U76:AF76)&lt;0,-SUMIF(U72:AF72,AH73,U76:AF76),0)</f>
        <v>0</v>
      </c>
      <c r="AM75" s="520">
        <f>IF(SUMIF(U73:AF73,AH74,U77:AF77)&gt;0,SUMIF(U73:AF73,AH74,U77:AF77),0)</f>
        <v>0</v>
      </c>
    </row>
    <row r="76" spans="1:39">
      <c r="B76" s="481" t="s">
        <v>23</v>
      </c>
      <c r="C76" s="482">
        <f>SUM(U76:AF76)</f>
        <v>4.9799999978858978E-3</v>
      </c>
      <c r="D76" s="491">
        <f>SUM(F76:Q76)</f>
        <v>1181062.2835600001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36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H76" s="499" t="s">
        <v>309</v>
      </c>
      <c r="AI76" s="528">
        <v>431600</v>
      </c>
      <c r="AJ76" s="358" t="s">
        <v>288</v>
      </c>
      <c r="AK76" s="358" t="s">
        <v>291</v>
      </c>
      <c r="AL76" s="381">
        <f>IF(SUMIF(U73:AF73,AH74,U77:AF77)&lt;0,-SUMIF(U73:AF73,AH74,U77:AF77),0)</f>
        <v>9.9593378331521034</v>
      </c>
      <c r="AM76" s="500">
        <v>0</v>
      </c>
    </row>
    <row r="77" spans="1:39">
      <c r="B77" s="481" t="s">
        <v>4</v>
      </c>
      <c r="C77" s="482">
        <f t="shared" ref="C77:C78" si="37">SUM(U77:AF77)</f>
        <v>-109.46219194583813</v>
      </c>
      <c r="D77" s="491">
        <f>SUM(F77:Q77)</f>
        <v>-8150.2660220448734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f t="shared" ref="W77:AD77" si="38">((W75*(W74/12))+((W76/2)*(W74/12)))</f>
        <v>-9.9179441338960661</v>
      </c>
      <c r="X77" s="489">
        <f t="shared" si="38"/>
        <v>-9.926209087340979</v>
      </c>
      <c r="Y77" s="489">
        <f t="shared" si="38"/>
        <v>-9.9344809282470976</v>
      </c>
      <c r="Z77" s="489">
        <f t="shared" si="38"/>
        <v>-9.9427596623539696</v>
      </c>
      <c r="AA77" s="489">
        <f t="shared" si="38"/>
        <v>-9.9510452954059314</v>
      </c>
      <c r="AB77" s="489">
        <f t="shared" si="38"/>
        <v>-9.9593378331521034</v>
      </c>
      <c r="AC77" s="489">
        <f t="shared" si="38"/>
        <v>-9.9676372813463967</v>
      </c>
      <c r="AD77" s="489">
        <f t="shared" si="38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H77" s="499" t="s">
        <v>312</v>
      </c>
      <c r="AI77" s="528">
        <v>191015</v>
      </c>
      <c r="AJ77" s="358" t="s">
        <v>288</v>
      </c>
      <c r="AK77" s="358" t="s">
        <v>291</v>
      </c>
      <c r="AL77" s="381">
        <f>IF((SUMIF(U73:AF73,AH74,U76:AF76)+SUMIF(U73:AF73,AH74,U77:AF77))&gt;0,(SUMIF(U73:AF73,AH74,U76:AF76)+SUMIF(U73:AF73,AH74,U77:AF77)),0)</f>
        <v>0</v>
      </c>
      <c r="AM77" s="500">
        <f>IF((SUMIF(U73:AF73,AH74,U76:AF76)+SUMIF(U73:AF73,AH74,U77:AF77))&lt;0,-(SUMIF(U73:AF73,AH74,U76:AF76)+SUMIF(U73:AF73,AH74,U77:AF77)),0)</f>
        <v>9.9593378331521034</v>
      </c>
    </row>
    <row r="78" spans="1:39">
      <c r="B78" s="481" t="s">
        <v>148</v>
      </c>
      <c r="C78" s="482">
        <f t="shared" si="37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H78" s="499" t="s">
        <v>313</v>
      </c>
      <c r="AI78" s="528">
        <v>805111</v>
      </c>
      <c r="AJ78" s="358" t="s">
        <v>288</v>
      </c>
      <c r="AK78" s="358" t="s">
        <v>291</v>
      </c>
      <c r="AL78" s="381">
        <f>IF((SUMIF(U73:AF73,AH74,U76:AF76))&lt;0,-(SUMIF(U73:AF73,AH74,U76:AF76)),0)</f>
        <v>0</v>
      </c>
      <c r="AM78" s="500">
        <f>IF((SUMIF(U73:AF73,AH74,U76:AF76))&gt;0,(SUMIF(U73:AF73,AH74,U76:AF76)),0)</f>
        <v>0</v>
      </c>
    </row>
    <row r="79" spans="1:39" ht="16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F79" si="39">SUM(V75:V78)</f>
        <v>-11901.532960675278</v>
      </c>
      <c r="W79" s="541">
        <f t="shared" si="39"/>
        <v>-11911.450904809175</v>
      </c>
      <c r="X79" s="541">
        <f t="shared" si="39"/>
        <v>-11921.377113896517</v>
      </c>
      <c r="Y79" s="541">
        <f t="shared" si="39"/>
        <v>-11931.311594824763</v>
      </c>
      <c r="Z79" s="541">
        <f t="shared" si="39"/>
        <v>-11941.254354487117</v>
      </c>
      <c r="AA79" s="541">
        <f t="shared" si="39"/>
        <v>-11951.205399782522</v>
      </c>
      <c r="AB79" s="541">
        <f t="shared" si="39"/>
        <v>-11961.164737615674</v>
      </c>
      <c r="AC79" s="541">
        <f t="shared" si="39"/>
        <v>-11971.132374897021</v>
      </c>
      <c r="AD79" s="541">
        <f t="shared" si="39"/>
        <v>-11981.108318542769</v>
      </c>
      <c r="AE79" s="541">
        <f t="shared" si="39"/>
        <v>-11991.092575474888</v>
      </c>
      <c r="AF79" s="541">
        <f t="shared" si="39"/>
        <v>-12001.085152621117</v>
      </c>
      <c r="AH79" s="499" t="s">
        <v>332</v>
      </c>
      <c r="AI79" s="528">
        <v>191015</v>
      </c>
      <c r="AJ79" s="358" t="s">
        <v>288</v>
      </c>
      <c r="AK79" s="358" t="s">
        <v>291</v>
      </c>
      <c r="AL79" s="381">
        <v>0</v>
      </c>
      <c r="AM79" s="500">
        <v>0</v>
      </c>
    </row>
    <row r="80" spans="1:39" ht="16.5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 t="e">
        <f ca="1">_xll.Get_Balance(V73,"YTD","USD","Total","A","","001",$A$73,"GD","ID","DL")</f>
        <v>#NAME?</v>
      </c>
      <c r="W80" s="482" t="e">
        <f ca="1">_xll.Get_Balance(W73,"YTD","USD","Total","A","","001",$A$73,"GD","ID","DL")</f>
        <v>#NAME?</v>
      </c>
      <c r="X80" s="482" t="e">
        <f ca="1">_xll.Get_Balance(X73,"YTD","USD","Total","A","","001",$A$73,"GD","ID","DL")</f>
        <v>#NAME?</v>
      </c>
      <c r="Y80" s="482" t="e">
        <f ca="1">_xll.Get_Balance(Y73,"YTD","USD","Total","A","","001",$A$73,"GD","ID","DL")</f>
        <v>#NAME?</v>
      </c>
      <c r="Z80" s="482" t="e">
        <f ca="1">_xll.Get_Balance(Z73,"YTD","USD","Total","A","","001",$A$73,"GD","ID","DL")</f>
        <v>#NAME?</v>
      </c>
      <c r="AA80" s="482" t="e">
        <f ca="1">_xll.Get_Balance(AA73,"YTD","USD","Total","A","","001",$A$73,"GD","ID","DL")</f>
        <v>#NAME?</v>
      </c>
      <c r="AB80" s="482" t="e">
        <f ca="1">_xll.Get_Balance(AB73,"YTD","USD","Total","A","","001",$A$73,"GD","ID","DL")</f>
        <v>#NAME?</v>
      </c>
      <c r="AC80" s="482" t="e">
        <f ca="1">_xll.Get_Balance(AC73,"YTD","USD","Total","A","","001",$A$73,"GD","ID","DL")</f>
        <v>#NAME?</v>
      </c>
      <c r="AD80" s="482" t="e">
        <f ca="1">_xll.Get_Balance(AD73,"YTD","USD","Total","A","","001",$A$73,"GD","ID","DL")</f>
        <v>#NAME?</v>
      </c>
      <c r="AE80" s="482" t="e">
        <f ca="1">_xll.Get_Balance(AE73,"YTD","USD","Total","A","","001",$A$73,"GD","ID","DL")</f>
        <v>#NAME?</v>
      </c>
      <c r="AF80" s="482" t="e">
        <f ca="1">_xll.Get_Balance(AF73,"YTD","USD","Total","A","","001",$A$73,"GD","ID","DL")</f>
        <v>#NAME?</v>
      </c>
      <c r="AH80" s="501" t="s">
        <v>332</v>
      </c>
      <c r="AI80" s="529">
        <v>431600</v>
      </c>
      <c r="AJ80" s="502" t="s">
        <v>288</v>
      </c>
      <c r="AK80" s="502" t="s">
        <v>291</v>
      </c>
      <c r="AL80" s="464">
        <v>0</v>
      </c>
      <c r="AM80" s="521">
        <v>0</v>
      </c>
    </row>
    <row r="81" spans="2:41" ht="16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 t="e">
        <f t="shared" ref="V81:AF81" ca="1" si="40">V79-V80</f>
        <v>#NAME?</v>
      </c>
      <c r="W81" s="482" t="e">
        <f t="shared" ca="1" si="40"/>
        <v>#NAME?</v>
      </c>
      <c r="X81" s="482" t="e">
        <f t="shared" ca="1" si="40"/>
        <v>#NAME?</v>
      </c>
      <c r="Y81" s="482" t="e">
        <f t="shared" ca="1" si="40"/>
        <v>#NAME?</v>
      </c>
      <c r="Z81" s="482" t="e">
        <f t="shared" ca="1" si="40"/>
        <v>#NAME?</v>
      </c>
      <c r="AA81" s="482" t="e">
        <f t="shared" ca="1" si="40"/>
        <v>#NAME?</v>
      </c>
      <c r="AB81" s="482" t="e">
        <f t="shared" ca="1" si="40"/>
        <v>#NAME?</v>
      </c>
      <c r="AC81" s="482" t="e">
        <f t="shared" ca="1" si="40"/>
        <v>#NAME?</v>
      </c>
      <c r="AD81" s="482" t="e">
        <f t="shared" ca="1" si="40"/>
        <v>#NAME?</v>
      </c>
      <c r="AE81" s="482" t="e">
        <f t="shared" ca="1" si="40"/>
        <v>#NAME?</v>
      </c>
      <c r="AF81" s="482" t="e">
        <f t="shared" ca="1" si="40"/>
        <v>#NAME?</v>
      </c>
      <c r="AH81" s="516"/>
      <c r="AI81" s="530"/>
      <c r="AJ81" s="517"/>
      <c r="AK81" s="517"/>
      <c r="AL81" s="517" t="s">
        <v>159</v>
      </c>
      <c r="AM81" s="518">
        <f>SUM(AL75:AL80)-SUM(AM75:AM80)</f>
        <v>0</v>
      </c>
    </row>
    <row r="84" spans="2:41">
      <c r="X84" s="576"/>
      <c r="Y84" s="576"/>
      <c r="Z84" s="576"/>
      <c r="AA84" s="576"/>
      <c r="AB84" s="576"/>
      <c r="AC84" s="576"/>
      <c r="AD84" s="576"/>
      <c r="AE84" s="576"/>
      <c r="AF84" s="576"/>
      <c r="AG84" s="576"/>
      <c r="AH84" s="709"/>
      <c r="AI84" s="710"/>
      <c r="AJ84" s="710"/>
      <c r="AK84" s="710"/>
      <c r="AL84" s="710"/>
      <c r="AM84" s="710"/>
      <c r="AN84" s="576"/>
      <c r="AO84" s="576"/>
    </row>
    <row r="85" spans="2:41">
      <c r="X85" s="576"/>
      <c r="Y85" s="576"/>
      <c r="Z85" s="576"/>
      <c r="AA85" s="576"/>
      <c r="AB85" s="576"/>
      <c r="AC85" s="576"/>
      <c r="AD85" s="576"/>
      <c r="AE85" s="576"/>
      <c r="AF85" s="576"/>
      <c r="AG85" s="576"/>
      <c r="AH85" s="710"/>
      <c r="AI85" s="710"/>
      <c r="AJ85" s="710"/>
      <c r="AK85" s="710"/>
      <c r="AL85" s="710"/>
      <c r="AM85" s="710"/>
      <c r="AN85" s="576"/>
      <c r="AO85" s="576"/>
    </row>
    <row r="86" spans="2:41">
      <c r="X86" s="576"/>
      <c r="Y86" s="576"/>
      <c r="Z86" s="576"/>
      <c r="AA86" s="576"/>
      <c r="AB86" s="576"/>
      <c r="AC86" s="576"/>
      <c r="AD86" s="576"/>
      <c r="AE86" s="576"/>
      <c r="AF86" s="576"/>
      <c r="AG86" s="576"/>
      <c r="AH86" s="710"/>
      <c r="AI86" s="710"/>
      <c r="AJ86" s="710"/>
      <c r="AK86" s="710"/>
      <c r="AL86" s="710"/>
      <c r="AM86" s="710"/>
      <c r="AN86" s="576"/>
      <c r="AO86" s="576"/>
    </row>
    <row r="87" spans="2:41">
      <c r="X87" s="576"/>
      <c r="Y87" s="576"/>
      <c r="Z87" s="576"/>
      <c r="AA87" s="576"/>
      <c r="AB87" s="576"/>
      <c r="AC87" s="576"/>
      <c r="AD87" s="576"/>
      <c r="AE87" s="576"/>
      <c r="AF87" s="576"/>
      <c r="AG87" s="576"/>
      <c r="AH87" s="710"/>
      <c r="AI87" s="710"/>
      <c r="AJ87" s="710"/>
      <c r="AK87" s="710"/>
      <c r="AL87" s="710"/>
      <c r="AM87" s="710"/>
      <c r="AN87" s="576"/>
      <c r="AO87" s="576"/>
    </row>
    <row r="88" spans="2:41">
      <c r="X88" s="576"/>
      <c r="Y88" s="576"/>
      <c r="Z88" s="576"/>
      <c r="AA88" s="576"/>
      <c r="AB88" s="576"/>
      <c r="AC88" s="576"/>
      <c r="AD88" s="576"/>
      <c r="AE88" s="576"/>
      <c r="AF88" s="576"/>
      <c r="AG88" s="576"/>
      <c r="AH88" s="710"/>
      <c r="AI88" s="710"/>
      <c r="AJ88" s="710"/>
      <c r="AK88" s="710"/>
      <c r="AL88" s="710"/>
      <c r="AM88" s="710"/>
      <c r="AN88" s="576"/>
      <c r="AO88" s="576"/>
    </row>
    <row r="89" spans="2:41">
      <c r="X89" s="576"/>
      <c r="Y89" s="576"/>
      <c r="Z89" s="576"/>
      <c r="AA89" s="576"/>
      <c r="AB89" s="576"/>
      <c r="AC89" s="576"/>
      <c r="AD89" s="576"/>
      <c r="AE89" s="576"/>
      <c r="AF89" s="576"/>
      <c r="AG89" s="576"/>
      <c r="AH89" s="710"/>
      <c r="AI89" s="710"/>
      <c r="AJ89" s="710"/>
      <c r="AK89" s="710"/>
      <c r="AL89" s="710"/>
      <c r="AM89" s="710"/>
      <c r="AN89" s="576"/>
      <c r="AO89" s="576"/>
    </row>
    <row r="90" spans="2:41">
      <c r="X90" s="576"/>
      <c r="Y90" s="576"/>
      <c r="Z90" s="576"/>
      <c r="AA90" s="576"/>
      <c r="AB90" s="576"/>
      <c r="AC90" s="576"/>
      <c r="AD90" s="576"/>
      <c r="AE90" s="576"/>
      <c r="AF90" s="576"/>
      <c r="AG90" s="576"/>
      <c r="AH90" s="358"/>
      <c r="AI90" s="528"/>
      <c r="AJ90" s="358"/>
      <c r="AK90" s="358"/>
      <c r="AL90" s="576"/>
      <c r="AM90" s="576"/>
      <c r="AN90" s="576"/>
      <c r="AO90" s="576"/>
    </row>
    <row r="91" spans="2:41">
      <c r="M91" s="482">
        <v>13246436.58</v>
      </c>
      <c r="X91" s="576"/>
      <c r="Y91" s="576"/>
      <c r="Z91" s="576"/>
      <c r="AA91" s="576"/>
      <c r="AB91" s="576"/>
      <c r="AC91" s="576"/>
      <c r="AD91" s="576"/>
      <c r="AE91" s="576"/>
      <c r="AF91" s="576"/>
      <c r="AG91" s="576"/>
      <c r="AH91" s="7"/>
      <c r="AI91" s="209"/>
      <c r="AJ91" s="7"/>
      <c r="AK91" s="7"/>
      <c r="AL91" s="576"/>
      <c r="AM91" s="576"/>
      <c r="AN91" s="576"/>
      <c r="AO91" s="576"/>
    </row>
    <row r="92" spans="2:41">
      <c r="X92" s="576"/>
      <c r="Y92" s="576"/>
      <c r="Z92" s="576"/>
      <c r="AA92" s="576"/>
      <c r="AB92" s="576"/>
      <c r="AC92" s="576"/>
      <c r="AD92" s="576"/>
      <c r="AE92" s="576"/>
      <c r="AF92" s="576"/>
      <c r="AG92" s="576"/>
      <c r="AH92" s="358"/>
      <c r="AI92" s="528"/>
      <c r="AJ92" s="358"/>
      <c r="AK92" s="358"/>
      <c r="AL92" s="576"/>
      <c r="AM92" s="576"/>
      <c r="AN92" s="576"/>
      <c r="AO92" s="576"/>
    </row>
    <row r="93" spans="2:41">
      <c r="X93" s="576"/>
      <c r="Y93" s="576"/>
      <c r="Z93" s="576"/>
      <c r="AA93" s="576"/>
      <c r="AB93" s="576"/>
      <c r="AC93" s="576"/>
      <c r="AD93" s="576"/>
      <c r="AE93" s="576"/>
      <c r="AF93" s="576"/>
      <c r="AG93" s="576"/>
      <c r="AH93" s="576"/>
      <c r="AI93" s="603"/>
      <c r="AJ93" s="576"/>
      <c r="AK93" s="576"/>
      <c r="AL93" s="576"/>
      <c r="AM93" s="576"/>
      <c r="AN93" s="576"/>
      <c r="AO93" s="576"/>
    </row>
  </sheetData>
  <mergeCells count="3">
    <mergeCell ref="AH31:AL36"/>
    <mergeCell ref="AH67:AM72"/>
    <mergeCell ref="AH84:AM89"/>
  </mergeCells>
  <conditionalFormatting sqref="E28">
    <cfRule type="cellIs" dxfId="514" priority="26" operator="notEqual">
      <formula>E27</formula>
    </cfRule>
  </conditionalFormatting>
  <conditionalFormatting sqref="F28">
    <cfRule type="cellIs" dxfId="513" priority="25" operator="notEqual">
      <formula>F27</formula>
    </cfRule>
  </conditionalFormatting>
  <conditionalFormatting sqref="G28">
    <cfRule type="cellIs" dxfId="512" priority="24" operator="notEqual">
      <formula>G27</formula>
    </cfRule>
  </conditionalFormatting>
  <conditionalFormatting sqref="H28">
    <cfRule type="cellIs" dxfId="511" priority="23" operator="notEqual">
      <formula>H27</formula>
    </cfRule>
  </conditionalFormatting>
  <conditionalFormatting sqref="C28">
    <cfRule type="cellIs" dxfId="510" priority="22" operator="notEqual">
      <formula>C27</formula>
    </cfRule>
  </conditionalFormatting>
  <conditionalFormatting sqref="F61">
    <cfRule type="cellIs" dxfId="509" priority="21" operator="notEqual">
      <formula>F60</formula>
    </cfRule>
  </conditionalFormatting>
  <conditionalFormatting sqref="G61">
    <cfRule type="cellIs" dxfId="508" priority="20" operator="notEqual">
      <formula>G60</formula>
    </cfRule>
  </conditionalFormatting>
  <conditionalFormatting sqref="H61">
    <cfRule type="cellIs" dxfId="507" priority="19" operator="notEqual">
      <formula>H60</formula>
    </cfRule>
  </conditionalFormatting>
  <conditionalFormatting sqref="C61">
    <cfRule type="cellIs" dxfId="506" priority="18" operator="notEqual">
      <formula>C60</formula>
    </cfRule>
  </conditionalFormatting>
  <conditionalFormatting sqref="I61">
    <cfRule type="cellIs" dxfId="505" priority="17" operator="notEqual">
      <formula>I60</formula>
    </cfRule>
  </conditionalFormatting>
  <conditionalFormatting sqref="AM81 AM48 AM11">
    <cfRule type="cellIs" dxfId="504" priority="16" operator="notEqual">
      <formula>0</formula>
    </cfRule>
  </conditionalFormatting>
  <conditionalFormatting sqref="I28">
    <cfRule type="cellIs" dxfId="503" priority="15" operator="notEqual">
      <formula>I27</formula>
    </cfRule>
  </conditionalFormatting>
  <conditionalFormatting sqref="J28">
    <cfRule type="cellIs" dxfId="502" priority="14" operator="notEqual">
      <formula>J27</formula>
    </cfRule>
  </conditionalFormatting>
  <conditionalFormatting sqref="J61">
    <cfRule type="cellIs" dxfId="501" priority="13" operator="notEqual">
      <formula>J60</formula>
    </cfRule>
  </conditionalFormatting>
  <conditionalFormatting sqref="K28">
    <cfRule type="cellIs" dxfId="500" priority="12" operator="notEqual">
      <formula>K27</formula>
    </cfRule>
  </conditionalFormatting>
  <conditionalFormatting sqref="K61">
    <cfRule type="cellIs" dxfId="499" priority="11" operator="notEqual">
      <formula>K60</formula>
    </cfRule>
  </conditionalFormatting>
  <conditionalFormatting sqref="L28:M28">
    <cfRule type="cellIs" dxfId="498" priority="10" operator="notEqual">
      <formula>L27</formula>
    </cfRule>
  </conditionalFormatting>
  <conditionalFormatting sqref="N28">
    <cfRule type="cellIs" dxfId="497" priority="9" operator="notEqual">
      <formula>N27</formula>
    </cfRule>
  </conditionalFormatting>
  <conditionalFormatting sqref="U61">
    <cfRule type="cellIs" dxfId="496" priority="8" operator="notEqual">
      <formula>U60</formula>
    </cfRule>
  </conditionalFormatting>
  <conditionalFormatting sqref="U28:V28">
    <cfRule type="cellIs" dxfId="495" priority="7" operator="notEqual">
      <formula>U27</formula>
    </cfRule>
  </conditionalFormatting>
  <conditionalFormatting sqref="V28">
    <cfRule type="cellIs" dxfId="494" priority="6" operator="notEqual">
      <formula>V27</formula>
    </cfRule>
  </conditionalFormatting>
  <conditionalFormatting sqref="V61">
    <cfRule type="cellIs" dxfId="493" priority="5" operator="notEqual">
      <formula>V60</formula>
    </cfRule>
  </conditionalFormatting>
  <conditionalFormatting sqref="W28">
    <cfRule type="cellIs" dxfId="492" priority="4" operator="notEqual">
      <formula>W27</formula>
    </cfRule>
  </conditionalFormatting>
  <conditionalFormatting sqref="W61">
    <cfRule type="cellIs" dxfId="491" priority="3" operator="notEqual">
      <formula>W60</formula>
    </cfRule>
  </conditionalFormatting>
  <conditionalFormatting sqref="X28:Y28">
    <cfRule type="cellIs" dxfId="490" priority="2" operator="notEqual">
      <formula>X27</formula>
    </cfRule>
  </conditionalFormatting>
  <conditionalFormatting sqref="Z28">
    <cfRule type="cellIs" dxfId="489" priority="1" operator="notEqual">
      <formula>Z27</formula>
    </cfRule>
  </conditionalFormatting>
  <pageMargins left="0" right="0" top="0.75" bottom="0.75" header="0.3" footer="0.3"/>
  <pageSetup scale="41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pageSetUpPr fitToPage="1"/>
  </sheetPr>
  <dimension ref="A1:AM80"/>
  <sheetViews>
    <sheetView zoomScale="85" zoomScaleNormal="85" zoomScaleSheetLayoutView="85" workbookViewId="0">
      <selection activeCell="Y44" sqref="Y44"/>
    </sheetView>
  </sheetViews>
  <sheetFormatPr defaultColWidth="9.09765625" defaultRowHeight="15.5"/>
  <cols>
    <col min="1" max="1" width="17.296875" style="482" customWidth="1"/>
    <col min="2" max="2" width="18.69921875" style="481" bestFit="1" customWidth="1"/>
    <col min="3" max="3" width="16.09765625" style="482" customWidth="1"/>
    <col min="4" max="4" width="16.296875" style="482" customWidth="1"/>
    <col min="5" max="5" width="15.59765625" style="482" hidden="1" customWidth="1"/>
    <col min="6" max="6" width="18.296875" style="482" hidden="1" customWidth="1"/>
    <col min="7" max="7" width="16.296875" style="482" hidden="1" customWidth="1"/>
    <col min="8" max="9" width="19.8984375" style="482" hidden="1" customWidth="1"/>
    <col min="10" max="10" width="16.296875" style="482" hidden="1" customWidth="1"/>
    <col min="11" max="11" width="21.59765625" style="482" hidden="1" customWidth="1"/>
    <col min="12" max="18" width="16.296875" style="482" hidden="1" customWidth="1"/>
    <col min="19" max="20" width="16.296875" style="482" customWidth="1"/>
    <col min="21" max="21" width="19.8984375" style="482" customWidth="1"/>
    <col min="22" max="22" width="16.296875" style="482" customWidth="1"/>
    <col min="23" max="23" width="21.59765625" style="482" customWidth="1"/>
    <col min="24" max="27" width="16.296875" style="482" customWidth="1"/>
    <col min="28" max="32" width="16.296875" style="482" hidden="1" customWidth="1"/>
    <col min="33" max="33" width="11.69921875" style="482" customWidth="1"/>
    <col min="34" max="34" width="37.8984375" style="482" bestFit="1" customWidth="1"/>
    <col min="35" max="35" width="14.3984375" style="525" bestFit="1" customWidth="1"/>
    <col min="36" max="36" width="4.69921875" style="482" bestFit="1" customWidth="1"/>
    <col min="37" max="37" width="5" style="482" bestFit="1" customWidth="1"/>
    <col min="38" max="38" width="18.296875" style="482" customWidth="1"/>
    <col min="39" max="39" width="17.09765625" style="482" bestFit="1" customWidth="1"/>
    <col min="40" max="40" width="0.3984375" style="482" customWidth="1"/>
    <col min="41" max="16384" width="9.09765625" style="482"/>
  </cols>
  <sheetData>
    <row r="1" spans="1:39">
      <c r="A1" s="480" t="s">
        <v>265</v>
      </c>
      <c r="AH1" s="480" t="s">
        <v>315</v>
      </c>
    </row>
    <row r="2" spans="1:39">
      <c r="A2" s="483" t="s">
        <v>266</v>
      </c>
    </row>
    <row r="3" spans="1:39" s="483" customFormat="1" ht="31.5" thickBot="1">
      <c r="A3" s="484">
        <v>191010</v>
      </c>
      <c r="B3" s="485" t="s">
        <v>256</v>
      </c>
      <c r="C3" s="486" t="s">
        <v>251</v>
      </c>
      <c r="D3" s="686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 t="shared" ref="AF3" si="1">AE3+1</f>
        <v>201512</v>
      </c>
      <c r="AI3" s="484"/>
    </row>
    <row r="4" spans="1:39" s="483" customFormat="1" ht="16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H4" s="544">
        <v>201507</v>
      </c>
      <c r="AI4" s="526"/>
      <c r="AJ4" s="514"/>
      <c r="AK4" s="514"/>
      <c r="AL4" s="514"/>
      <c r="AM4" s="515"/>
    </row>
    <row r="5" spans="1:39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-1154882.2995837759</v>
      </c>
      <c r="W5" s="482">
        <f t="shared" ref="W5:AD5" si="2">V13</f>
        <v>-1883329.5456927749</v>
      </c>
      <c r="X5" s="482">
        <f t="shared" si="2"/>
        <v>-872806.43822777225</v>
      </c>
      <c r="Y5" s="482">
        <f t="shared" si="2"/>
        <v>-2959310.535139773</v>
      </c>
      <c r="Z5" s="482">
        <f t="shared" si="2"/>
        <v>-3131335.1133777718</v>
      </c>
      <c r="AA5" s="482">
        <f t="shared" si="2"/>
        <v>-3303665.3888877728</v>
      </c>
      <c r="AB5" s="482">
        <f t="shared" si="2"/>
        <v>-3655951.1713057715</v>
      </c>
      <c r="AC5" s="482">
        <f t="shared" si="2"/>
        <v>-3747278.07094577</v>
      </c>
      <c r="AD5" s="482">
        <f t="shared" si="2"/>
        <v>-4948357.8050077725</v>
      </c>
      <c r="AE5" s="482">
        <f>AD13</f>
        <v>-6093381.4883727729</v>
      </c>
      <c r="AF5" s="482">
        <f t="shared" ref="AF5" si="3">AE13</f>
        <v>-7722519.1945627714</v>
      </c>
      <c r="AH5" s="497" t="s">
        <v>294</v>
      </c>
      <c r="AI5" s="527">
        <v>419600</v>
      </c>
      <c r="AJ5" s="498" t="s">
        <v>288</v>
      </c>
      <c r="AK5" s="498" t="s">
        <v>289</v>
      </c>
      <c r="AL5" s="519">
        <v>0</v>
      </c>
      <c r="AM5" s="520">
        <f>IF(SUMIF(U3:AF3,AH4,U8:AF8)&gt;0,SUMIF(U3:AF3,AH4,U8:AF8),0)</f>
        <v>0</v>
      </c>
    </row>
    <row r="6" spans="1:39">
      <c r="B6" s="481" t="s">
        <v>254</v>
      </c>
      <c r="C6" s="482">
        <f>SUM(U6:AF6)</f>
        <v>-10042423.246235993</v>
      </c>
      <c r="D6" s="482">
        <f>-2523837.34+SUM(E6:N6,E9:T9)</f>
        <v>4.5212078839540482E-3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f>Feb!$H$53</f>
        <v>0</v>
      </c>
      <c r="W6" s="482">
        <f>Mar!$H$53</f>
        <v>1135107.4385570027</v>
      </c>
      <c r="X6" s="482">
        <f>Apr!$H$53</f>
        <v>-2310603.7085020011</v>
      </c>
      <c r="Y6" s="482">
        <f>May!$H$53</f>
        <v>-1026688.9535339989</v>
      </c>
      <c r="Z6" s="482">
        <f>Jun!$H$53</f>
        <v>-1511176.335440001</v>
      </c>
      <c r="AA6" s="482">
        <f>Jul!$H$53</f>
        <v>-1483614.197077998</v>
      </c>
      <c r="AB6" s="482">
        <f>Aug!$H$53</f>
        <v>-1288286.6270379988</v>
      </c>
      <c r="AC6" s="482">
        <f>Sep!$H$53</f>
        <v>-2088616.5970920017</v>
      </c>
      <c r="AD6" s="482">
        <f>Oct!$H$55</f>
        <v>-1862270.5500129997</v>
      </c>
      <c r="AE6" s="482">
        <f>Nov!$H$55</f>
        <v>-294955.25549999811</v>
      </c>
      <c r="AF6" s="482">
        <f>Dec!$H$53</f>
        <v>0</v>
      </c>
      <c r="AH6" s="499" t="s">
        <v>295</v>
      </c>
      <c r="AI6" s="528">
        <v>431600</v>
      </c>
      <c r="AJ6" s="358" t="s">
        <v>288</v>
      </c>
      <c r="AK6" s="358" t="s">
        <v>289</v>
      </c>
      <c r="AL6" s="381">
        <f>IF(SUMIF(U3:AF3,AH4,U8:AF8)&lt;0,-SUMIF(U3:AF3,AH4,U8:AF8),0)</f>
        <v>9411.74</v>
      </c>
      <c r="AM6" s="500">
        <v>0</v>
      </c>
    </row>
    <row r="7" spans="1:39">
      <c r="B7" s="481" t="s">
        <v>255</v>
      </c>
      <c r="C7" s="482">
        <f t="shared" ref="C7:C12" si="4">SUM(U7:AF7)</f>
        <v>2652361.2041769996</v>
      </c>
      <c r="D7" s="482">
        <f>5059705.37+SUM(E7:N7,E10:T10)</f>
        <v>-2.4999678134918213E-4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f>Feb!$I$53</f>
        <v>-724338.56610899908</v>
      </c>
      <c r="W7" s="482">
        <f>Mar!$I$53</f>
        <v>-120857.11109200004</v>
      </c>
      <c r="X7" s="482">
        <f>Apr!$I$53</f>
        <v>229663.83159000031</v>
      </c>
      <c r="Y7" s="482">
        <f>May!$I$53</f>
        <v>862900.97529599979</v>
      </c>
      <c r="Z7" s="482">
        <f>Jun!$I$53</f>
        <v>1347548.3399299998</v>
      </c>
      <c r="AA7" s="482">
        <f>Jul!$I$53</f>
        <v>1140740.15466</v>
      </c>
      <c r="AB7" s="482">
        <f>Aug!$I$53</f>
        <v>1206971.3773980001</v>
      </c>
      <c r="AC7" s="482">
        <f>Sep!$I$53</f>
        <v>899296.28302999982</v>
      </c>
      <c r="AD7" s="482">
        <f>Oct!$I$55</f>
        <v>732178.99664799974</v>
      </c>
      <c r="AE7" s="563">
        <f>Nov!$I$55</f>
        <v>-1315498.7206899999</v>
      </c>
      <c r="AF7" s="482">
        <f>Dec!$I$53</f>
        <v>0</v>
      </c>
      <c r="AH7" s="499" t="s">
        <v>296</v>
      </c>
      <c r="AI7" s="528">
        <v>191010</v>
      </c>
      <c r="AJ7" s="358" t="s">
        <v>288</v>
      </c>
      <c r="AK7" s="358" t="s">
        <v>289</v>
      </c>
      <c r="AL7" s="381">
        <f>IF((SUMIF(U3:AF3,AH4,U6:AF6)+SUMIF(U3:AF3,AH4,U7:AF7)+SUMIF(U3:AF3,AH4,U8:AF8))&gt;0,(SUMIF(U3:AF3,AH4,U6:AF6)+SUMIF(U3:AF3,AH4,U7:AF7)+SUMIF(U3:AF3,AH4,U8:AF8)),0)</f>
        <v>0</v>
      </c>
      <c r="AM7" s="500">
        <f>IF((SUMIF(U3:AF3,AH4,U6:AF6)+SUMIF(U3:AF3,AH4,U7:AF7)+SUMIF(U3:AF3,AH4,U8:AF8))&lt;0,-(SUMIF(U3:AF3,AH4,U6:AF6)+SUMIF(U3:AF3,AH4,U7:AF7)++SUMIF(U3:AF3,AH4,U8:AF8)),0)</f>
        <v>352285.78241799795</v>
      </c>
    </row>
    <row r="8" spans="1:39">
      <c r="B8" s="481" t="s">
        <v>258</v>
      </c>
      <c r="C8" s="482">
        <f t="shared" si="4"/>
        <v>-117362.70999999999</v>
      </c>
      <c r="D8" s="482">
        <f>-38846.64+SUM(E8:N8,E11:T11)</f>
        <v>5.9999999990395736E-2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5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f>ROUND(((V5)*(V4/12))+((SUM(V6:V7)/2)*(V4/12)),2)</f>
        <v>-4108.68</v>
      </c>
      <c r="W8" s="489">
        <f t="shared" ref="W8:AC8" si="6">ROUND(((W5)*(W4/12))+((SUM(W6:W7)/2)*(W4/12)),2)</f>
        <v>-3727.22</v>
      </c>
      <c r="X8" s="489">
        <f>ROUND(((X5+X12)*(X4/12))+((SUM(X6:X7)/2)*(X4/12)),2)</f>
        <v>-5182.82</v>
      </c>
      <c r="Y8" s="489">
        <f t="shared" si="6"/>
        <v>-8236.6</v>
      </c>
      <c r="Z8" s="489">
        <f t="shared" si="6"/>
        <v>-8702.2800000000007</v>
      </c>
      <c r="AA8" s="489">
        <f t="shared" si="6"/>
        <v>-9411.74</v>
      </c>
      <c r="AB8" s="489">
        <f t="shared" si="6"/>
        <v>-10011.65</v>
      </c>
      <c r="AC8" s="489">
        <f t="shared" si="6"/>
        <v>-11759.42</v>
      </c>
      <c r="AD8" s="489">
        <f>ROUND(((AD5)*(AD4/12))+((SUM(AD6:AD7)/2)*(AD4/12)),2)</f>
        <v>-14932.13</v>
      </c>
      <c r="AE8" s="560">
        <f>ROUND(((AE5+AE9+AE10+AE11)*(AE4/12))+((SUM(AE6:AE7)/2)*(AE4/12)),2)</f>
        <v>-18683.73</v>
      </c>
      <c r="AF8" s="489">
        <f>ROUND(((AF5)*(AF4/12))+((SUM(AF6:AF7)/2)*(AF4/12)),2)</f>
        <v>-20915.16</v>
      </c>
      <c r="AH8" s="499" t="s">
        <v>297</v>
      </c>
      <c r="AI8" s="528">
        <v>805120</v>
      </c>
      <c r="AJ8" s="358" t="s">
        <v>288</v>
      </c>
      <c r="AK8" s="358" t="s">
        <v>289</v>
      </c>
      <c r="AL8" s="381">
        <f>IF((SUMIF(U3:AF3,AH4,U6:AF6)+SUMIF(U3:AF3,AH4,U7:AF7))&lt;0,-(SUMIF(U3:AF3,AH4,U6:AF6)+SUMIF(U3:AF3,AH4,U7:AF7)),0)</f>
        <v>342874.04241799796</v>
      </c>
      <c r="AM8" s="500">
        <f>IF((SUMIF(U3:AF3,AH4,U6:AF6)+SUMIF(U3:AF3,AH4,U7:AF7))&gt;0,(SUMIF(U3:AF3,AH4,U6:AF6)+SUMIF(U3:AF3,AH4,U7:AF7)),0)</f>
        <v>0</v>
      </c>
    </row>
    <row r="9" spans="1:39">
      <c r="B9" s="481" t="s">
        <v>262</v>
      </c>
      <c r="C9" s="482">
        <f t="shared" si="4"/>
        <v>-69937.37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63">
        <v>0</v>
      </c>
      <c r="AF9" s="482">
        <v>0</v>
      </c>
      <c r="AH9" s="499" t="s">
        <v>11</v>
      </c>
      <c r="AI9" s="528">
        <v>191010</v>
      </c>
      <c r="AJ9" s="358" t="s">
        <v>288</v>
      </c>
      <c r="AK9" s="358" t="s">
        <v>289</v>
      </c>
      <c r="AL9" s="381">
        <v>0</v>
      </c>
      <c r="AM9" s="500">
        <v>0</v>
      </c>
    </row>
    <row r="10" spans="1:39" ht="16" thickBot="1">
      <c r="B10" s="481" t="s">
        <v>263</v>
      </c>
      <c r="C10" s="482">
        <f t="shared" si="4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63">
        <v>0</v>
      </c>
      <c r="AF10" s="482">
        <v>0</v>
      </c>
      <c r="AH10" s="501" t="str">
        <f>AH9</f>
        <v>Tracker Transfer</v>
      </c>
      <c r="AI10" s="529">
        <f>AI41</f>
        <v>191000</v>
      </c>
      <c r="AJ10" s="529" t="str">
        <f>AJ41</f>
        <v>GD</v>
      </c>
      <c r="AK10" s="529" t="str">
        <f>AK41</f>
        <v>WA</v>
      </c>
      <c r="AL10" s="503">
        <v>0</v>
      </c>
      <c r="AM10" s="521">
        <f>AL9</f>
        <v>0</v>
      </c>
    </row>
    <row r="11" spans="1:39" ht="16" thickBot="1">
      <c r="B11" s="481" t="s">
        <v>264</v>
      </c>
      <c r="C11" s="482">
        <f t="shared" si="4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63">
        <v>0</v>
      </c>
      <c r="AF11" s="482">
        <v>0</v>
      </c>
      <c r="AH11" s="516"/>
      <c r="AI11" s="530"/>
      <c r="AJ11" s="517"/>
      <c r="AK11" s="517"/>
      <c r="AL11" s="517" t="s">
        <v>159</v>
      </c>
      <c r="AM11" s="518">
        <f>SUM(AL5:AL10)-SUM(AM5:AM10)</f>
        <v>0</v>
      </c>
    </row>
    <row r="12" spans="1:39">
      <c r="B12" s="481" t="s">
        <v>148</v>
      </c>
      <c r="C12" s="482">
        <f t="shared" si="4"/>
        <v>-381.4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</row>
    <row r="13" spans="1:39" ht="16" thickBot="1">
      <c r="B13" s="481" t="s">
        <v>56</v>
      </c>
      <c r="C13" s="541">
        <f>SUM(C5:C12)</f>
        <v>-7577743.5220589936</v>
      </c>
      <c r="D13" s="541"/>
      <c r="E13" s="541">
        <f>SUM(E5:E12)</f>
        <v>2712780.2600000002</v>
      </c>
      <c r="F13" s="541">
        <f t="shared" ref="F13:H13" si="7">SUM(F5:F12)</f>
        <v>2255013.9900000002</v>
      </c>
      <c r="G13" s="541">
        <f>SUM(G5:G12)</f>
        <v>-33498.738666789999</v>
      </c>
      <c r="H13" s="541">
        <f t="shared" si="7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8">SUM(V5:V12)</f>
        <v>-1883329.5456927749</v>
      </c>
      <c r="W13" s="541">
        <f t="shared" si="8"/>
        <v>-872806.43822777225</v>
      </c>
      <c r="X13" s="541">
        <f t="shared" si="8"/>
        <v>-2959310.535139773</v>
      </c>
      <c r="Y13" s="541">
        <f>SUM(Y5:Y12)</f>
        <v>-3131335.1133777718</v>
      </c>
      <c r="Z13" s="541">
        <f t="shared" ref="Z13:AF13" si="9">SUM(Z5:Z12)</f>
        <v>-3303665.3888877728</v>
      </c>
      <c r="AA13" s="541">
        <f t="shared" si="9"/>
        <v>-3655951.1713057715</v>
      </c>
      <c r="AB13" s="541">
        <f t="shared" si="9"/>
        <v>-3747278.07094577</v>
      </c>
      <c r="AC13" s="541">
        <f t="shared" si="9"/>
        <v>-4948357.8050077725</v>
      </c>
      <c r="AD13" s="541">
        <f t="shared" si="9"/>
        <v>-6093381.4883727729</v>
      </c>
      <c r="AE13" s="541">
        <f t="shared" si="9"/>
        <v>-7722519.1945627714</v>
      </c>
      <c r="AF13" s="541">
        <f t="shared" si="9"/>
        <v>-7743434.3545627715</v>
      </c>
    </row>
    <row r="14" spans="1:39" ht="16" thickTop="1">
      <c r="B14" s="481" t="s">
        <v>260</v>
      </c>
      <c r="E14" s="482" t="e">
        <f ca="1">_xll.Get_Balance(E3,"YTD","USD","Total","A","","001",$A$3,"GD","WA","DL")</f>
        <v>#NAME?</v>
      </c>
      <c r="F14" s="482" t="e">
        <f ca="1">_xll.Get_Balance(F3,"YTD","USD","Total","A","","001",$A$3,"GD","WA","DL")</f>
        <v>#NAME?</v>
      </c>
      <c r="G14" s="482" t="e">
        <f ca="1">_xll.Get_Balance(G3,"YTD","USD","Total","A","","001",$A$3,"GD","WA","DL")</f>
        <v>#NAME?</v>
      </c>
      <c r="H14" s="482" t="e">
        <f ca="1">_xll.Get_Balance(H3,"YTD","USD","Total","A","","001",$A$3,"GD","WA","DL")</f>
        <v>#NAME?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 t="e">
        <f ca="1">_xll.Get_Balance(V3,"YTD","USD","Total","A","","001",$A$3,"GD","WA","DL")</f>
        <v>#NAME?</v>
      </c>
      <c r="W14" s="482" t="e">
        <f ca="1">_xll.Get_Balance(W3,"YTD","USD","Total","A","","001",$A$3,"GD","WA","DL")</f>
        <v>#NAME?</v>
      </c>
      <c r="X14" s="482" t="e">
        <f ca="1">_xll.Get_Balance(X3,"YTD","USD","Total","A","","001",$A$3,"GD","WA","DL")</f>
        <v>#NAME?</v>
      </c>
      <c r="Y14" s="482" t="e">
        <f ca="1">_xll.Get_Balance(Y3,"YTD","USD","Total","A","","001",$A$3,"GD","WA","DL")</f>
        <v>#NAME?</v>
      </c>
      <c r="Z14" s="482" t="e">
        <f ca="1">_xll.Get_Balance(Z3,"YTD","USD","Total","A","","001",$A$3,"GD","WA","DL")</f>
        <v>#NAME?</v>
      </c>
      <c r="AA14" s="482" t="e">
        <f ca="1">_xll.Get_Balance(AA3,"YTD","USD","Total","A","","001",$A$3,"GD","WA","DL")</f>
        <v>#NAME?</v>
      </c>
      <c r="AB14" s="482" t="e">
        <f ca="1">_xll.Get_Balance(AB3,"YTD","USD","Total","A","","001",$A$3,"GD","WA","DL")</f>
        <v>#NAME?</v>
      </c>
      <c r="AC14" s="482" t="e">
        <f ca="1">_xll.Get_Balance(AC3,"YTD","USD","Total","A","","001",$A$3,"GD","WA","DL")</f>
        <v>#NAME?</v>
      </c>
      <c r="AD14" s="482" t="e">
        <f ca="1">_xll.Get_Balance(AD3,"YTD","USD","Total","A","","001",$A$3,"GD","WA","DL")</f>
        <v>#NAME?</v>
      </c>
      <c r="AE14" s="482" t="e">
        <f ca="1">_xll.Get_Balance(AE3,"YTD","USD","Total","A","","001",$A$3,"GD","WA","DL")</f>
        <v>#NAME?</v>
      </c>
      <c r="AF14" s="482" t="e">
        <f ca="1">_xll.Get_Balance(AF3,"YTD","USD","Total","A","","001",$A$3,"GD","WA","DL")</f>
        <v>#NAME?</v>
      </c>
    </row>
    <row r="15" spans="1:39">
      <c r="B15" s="481" t="s">
        <v>245</v>
      </c>
      <c r="E15" s="482" t="e">
        <f t="shared" ref="E15:H15" ca="1" si="10">E13-E14</f>
        <v>#NAME?</v>
      </c>
      <c r="F15" s="482" t="e">
        <f t="shared" ca="1" si="10"/>
        <v>#NAME?</v>
      </c>
      <c r="G15" s="482" t="e">
        <f t="shared" ca="1" si="10"/>
        <v>#NAME?</v>
      </c>
      <c r="H15" s="482" t="e">
        <f t="shared" ca="1" si="10"/>
        <v>#NAME?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 t="e">
        <f t="shared" ref="V15:AF15" ca="1" si="11">V13-V14</f>
        <v>#NAME?</v>
      </c>
      <c r="W15" s="482" t="e">
        <f t="shared" ca="1" si="11"/>
        <v>#NAME?</v>
      </c>
      <c r="X15" s="482" t="e">
        <f t="shared" ca="1" si="11"/>
        <v>#NAME?</v>
      </c>
      <c r="Y15" s="482" t="e">
        <f t="shared" ca="1" si="11"/>
        <v>#NAME?</v>
      </c>
      <c r="Z15" s="482" t="e">
        <f t="shared" ca="1" si="11"/>
        <v>#NAME?</v>
      </c>
      <c r="AA15" s="482" t="e">
        <f t="shared" ca="1" si="11"/>
        <v>#NAME?</v>
      </c>
      <c r="AB15" s="482" t="e">
        <f t="shared" ca="1" si="11"/>
        <v>#NAME?</v>
      </c>
      <c r="AC15" s="482" t="e">
        <f t="shared" ca="1" si="11"/>
        <v>#NAME?</v>
      </c>
      <c r="AD15" s="482" t="e">
        <f t="shared" ca="1" si="11"/>
        <v>#NAME?</v>
      </c>
      <c r="AE15" s="482" t="e">
        <f t="shared" ca="1" si="11"/>
        <v>#NAME?</v>
      </c>
      <c r="AF15" s="482" t="e">
        <f t="shared" ca="1" si="11"/>
        <v>#NAME?</v>
      </c>
    </row>
    <row r="16" spans="1:39">
      <c r="A16" s="483" t="s">
        <v>268</v>
      </c>
    </row>
    <row r="17" spans="1:33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</row>
    <row r="18" spans="1:33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</row>
    <row r="19" spans="1:33">
      <c r="A19" s="483"/>
      <c r="B19" s="481" t="s">
        <v>37</v>
      </c>
      <c r="C19" s="491">
        <f>SUM(U19:AF19)</f>
        <v>83964548</v>
      </c>
      <c r="D19" s="491">
        <f t="shared" ref="D19:D28" si="14">SUM(G19:R19)</f>
        <v>118507804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f>Feb!$G23</f>
        <v>13011547</v>
      </c>
      <c r="W19" s="543">
        <f>Mar!$G23</f>
        <v>10479005</v>
      </c>
      <c r="X19" s="543">
        <f>Apr!$G23</f>
        <v>7714478</v>
      </c>
      <c r="Y19" s="543">
        <f>May!$G23</f>
        <v>3297360</v>
      </c>
      <c r="Z19" s="543">
        <f>Jun!$G23</f>
        <v>1968489</v>
      </c>
      <c r="AA19" s="543">
        <f>Jul!$G23</f>
        <v>2145139</v>
      </c>
      <c r="AB19" s="543">
        <f>Aug!$G23</f>
        <v>1956853</v>
      </c>
      <c r="AC19" s="543">
        <f>Sep!$G23</f>
        <v>3273457</v>
      </c>
      <c r="AD19" s="543">
        <f>Oct!$G23</f>
        <v>4833518</v>
      </c>
      <c r="AE19" s="543">
        <f>Nov!$G23</f>
        <v>15375028</v>
      </c>
      <c r="AF19" s="543">
        <f>Dec!$G23</f>
        <v>0</v>
      </c>
    </row>
    <row r="20" spans="1:33">
      <c r="A20" s="483"/>
      <c r="B20" s="481" t="s">
        <v>38</v>
      </c>
      <c r="C20" s="491">
        <f t="shared" ref="C20:C27" si="15">SUM(U20:AF20)</f>
        <v>35336899</v>
      </c>
      <c r="D20" s="491">
        <f t="shared" si="14"/>
        <v>47081391</v>
      </c>
      <c r="E20" s="491">
        <v>1599551</v>
      </c>
      <c r="F20" s="491">
        <v>3880001</v>
      </c>
      <c r="G20" s="491">
        <v>5651303</v>
      </c>
      <c r="H20" s="491">
        <v>7518125</v>
      </c>
      <c r="I20" s="543">
        <v>7025543</v>
      </c>
      <c r="J20" s="543">
        <v>6903553</v>
      </c>
      <c r="K20" s="543">
        <v>5310734</v>
      </c>
      <c r="L20" s="543">
        <v>3390429</v>
      </c>
      <c r="M20" s="543">
        <v>2183609</v>
      </c>
      <c r="N20" s="543">
        <v>1741655</v>
      </c>
      <c r="O20" s="543">
        <v>1476567</v>
      </c>
      <c r="P20" s="543">
        <v>1364087</v>
      </c>
      <c r="Q20" s="543">
        <v>1739755</v>
      </c>
      <c r="R20" s="543">
        <v>2776031</v>
      </c>
      <c r="S20" s="543">
        <v>6141604</v>
      </c>
      <c r="T20" s="543">
        <v>6045485</v>
      </c>
      <c r="U20" s="543">
        <v>6173752</v>
      </c>
      <c r="V20" s="543">
        <f>Feb!$G24</f>
        <v>5630395</v>
      </c>
      <c r="W20" s="543">
        <f>Mar!$G24</f>
        <v>4030672</v>
      </c>
      <c r="X20" s="543">
        <f>Apr!$G24</f>
        <v>3448422</v>
      </c>
      <c r="Y20" s="543">
        <f>May!$G24</f>
        <v>1901440</v>
      </c>
      <c r="Z20" s="543">
        <f>Jun!$G24</f>
        <v>1561904</v>
      </c>
      <c r="AA20" s="543">
        <f>Jul!$G24</f>
        <v>1323231</v>
      </c>
      <c r="AB20" s="543">
        <f>Aug!$G24</f>
        <v>1284422</v>
      </c>
      <c r="AC20" s="543">
        <f>Sep!$G24</f>
        <v>1854848</v>
      </c>
      <c r="AD20" s="543">
        <f>Oct!$G25</f>
        <v>2624293</v>
      </c>
      <c r="AE20" s="543">
        <f>Nov!$G25</f>
        <v>5503520</v>
      </c>
      <c r="AF20" s="543">
        <f>Dec!$G24</f>
        <v>0</v>
      </c>
    </row>
    <row r="21" spans="1:33" hidden="1">
      <c r="A21" s="483"/>
      <c r="B21" s="481" t="s">
        <v>39</v>
      </c>
      <c r="C21" s="491">
        <f t="shared" si="15"/>
        <v>0</v>
      </c>
      <c r="D21" s="491">
        <f t="shared" si="14"/>
        <v>0</v>
      </c>
      <c r="E21" s="491">
        <v>0</v>
      </c>
      <c r="F21" s="491">
        <v>0</v>
      </c>
      <c r="G21" s="491">
        <v>0</v>
      </c>
      <c r="H21" s="491">
        <v>0</v>
      </c>
      <c r="I21" s="543"/>
      <c r="J21" s="543"/>
      <c r="K21" s="543"/>
      <c r="L21" s="543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3"/>
      <c r="AF21" s="543"/>
    </row>
    <row r="22" spans="1:33">
      <c r="A22" s="483"/>
      <c r="B22" s="481" t="s">
        <v>40</v>
      </c>
      <c r="C22" s="491">
        <f t="shared" si="15"/>
        <v>4051936</v>
      </c>
      <c r="D22" s="491">
        <f t="shared" si="14"/>
        <v>4993299</v>
      </c>
      <c r="E22" s="491">
        <v>344046</v>
      </c>
      <c r="F22" s="491">
        <v>595792</v>
      </c>
      <c r="G22" s="491">
        <v>396185</v>
      </c>
      <c r="H22" s="491">
        <v>588721</v>
      </c>
      <c r="I22" s="543">
        <v>534459</v>
      </c>
      <c r="J22" s="543">
        <v>540817</v>
      </c>
      <c r="K22" s="543">
        <v>425342</v>
      </c>
      <c r="L22" s="543">
        <v>407197</v>
      </c>
      <c r="M22" s="543">
        <v>340947</v>
      </c>
      <c r="N22" s="543">
        <v>361843</v>
      </c>
      <c r="O22" s="543">
        <v>251184</v>
      </c>
      <c r="P22" s="543">
        <v>332621</v>
      </c>
      <c r="Q22" s="543">
        <v>330926</v>
      </c>
      <c r="R22" s="543">
        <v>483057</v>
      </c>
      <c r="S22" s="543">
        <v>518418</v>
      </c>
      <c r="T22" s="543">
        <v>377457</v>
      </c>
      <c r="U22" s="543">
        <v>513680</v>
      </c>
      <c r="V22" s="543">
        <f>Feb!$G26</f>
        <v>431734</v>
      </c>
      <c r="W22" s="543">
        <f>Mar!$G26</f>
        <v>335852</v>
      </c>
      <c r="X22" s="543">
        <f>Apr!$G26</f>
        <v>432834</v>
      </c>
      <c r="Y22" s="543">
        <f>May!$G26</f>
        <v>249954</v>
      </c>
      <c r="Z22" s="543">
        <f>Jun!$G26</f>
        <v>322862</v>
      </c>
      <c r="AA22" s="543">
        <f>Jul!$G26</f>
        <v>247078</v>
      </c>
      <c r="AB22" s="543">
        <f>Aug!$G26</f>
        <v>274690</v>
      </c>
      <c r="AC22" s="543">
        <f>Sep!$G26</f>
        <v>336073</v>
      </c>
      <c r="AD22" s="543">
        <f>Oct!$G27</f>
        <v>365802</v>
      </c>
      <c r="AE22" s="543">
        <f>Nov!$G27</f>
        <v>541377</v>
      </c>
      <c r="AF22" s="543">
        <f>Dec!$G26</f>
        <v>0</v>
      </c>
    </row>
    <row r="23" spans="1:33" hidden="1">
      <c r="A23" s="483"/>
      <c r="B23" s="481" t="s">
        <v>41</v>
      </c>
      <c r="C23" s="491">
        <f t="shared" si="15"/>
        <v>0</v>
      </c>
      <c r="D23" s="491">
        <f t="shared" si="14"/>
        <v>0</v>
      </c>
      <c r="E23" s="491">
        <v>0</v>
      </c>
      <c r="F23" s="491">
        <v>0</v>
      </c>
      <c r="G23" s="491">
        <v>0</v>
      </c>
      <c r="H23" s="491">
        <v>0</v>
      </c>
      <c r="I23" s="543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3"/>
      <c r="AC23" s="543"/>
      <c r="AD23" s="543"/>
      <c r="AE23" s="543"/>
      <c r="AF23" s="543"/>
    </row>
    <row r="24" spans="1:33">
      <c r="A24" s="483"/>
      <c r="B24" s="481" t="s">
        <v>42</v>
      </c>
      <c r="C24" s="491">
        <f t="shared" si="15"/>
        <v>0</v>
      </c>
      <c r="D24" s="491">
        <f t="shared" si="14"/>
        <v>0</v>
      </c>
      <c r="E24" s="491">
        <v>0</v>
      </c>
      <c r="F24" s="491">
        <v>0</v>
      </c>
      <c r="G24" s="491">
        <v>0</v>
      </c>
      <c r="H24" s="491">
        <v>0</v>
      </c>
      <c r="I24" s="543">
        <v>0</v>
      </c>
      <c r="J24" s="543">
        <v>0</v>
      </c>
      <c r="K24" s="543">
        <v>0</v>
      </c>
      <c r="L24" s="543">
        <v>0</v>
      </c>
      <c r="M24" s="543">
        <v>0</v>
      </c>
      <c r="N24" s="543">
        <v>0</v>
      </c>
      <c r="O24" s="543">
        <v>0</v>
      </c>
      <c r="P24" s="543">
        <v>0</v>
      </c>
      <c r="Q24" s="543">
        <v>0</v>
      </c>
      <c r="R24" s="543">
        <v>0</v>
      </c>
      <c r="S24" s="543">
        <v>0</v>
      </c>
      <c r="T24" s="543">
        <v>0</v>
      </c>
      <c r="U24" s="543">
        <v>0</v>
      </c>
      <c r="V24" s="543">
        <f>Feb!$G28</f>
        <v>0</v>
      </c>
      <c r="W24" s="543">
        <f>Mar!$G28</f>
        <v>0</v>
      </c>
      <c r="X24" s="543">
        <f>Apr!$G28</f>
        <v>0</v>
      </c>
      <c r="Y24" s="543">
        <f>May!$G28</f>
        <v>0</v>
      </c>
      <c r="Z24" s="543">
        <f>Jun!$G28</f>
        <v>0</v>
      </c>
      <c r="AA24" s="543">
        <f>Jul!$G28</f>
        <v>0</v>
      </c>
      <c r="AB24" s="543">
        <f>Aug!$G28</f>
        <v>0</v>
      </c>
      <c r="AC24" s="543">
        <f>Sep!$G28</f>
        <v>0</v>
      </c>
      <c r="AD24" s="543">
        <f>Oct!$G29</f>
        <v>0</v>
      </c>
      <c r="AE24" s="543">
        <f>Nov!$G29</f>
        <v>0</v>
      </c>
      <c r="AF24" s="543">
        <f>Dec!$G28</f>
        <v>0</v>
      </c>
    </row>
    <row r="25" spans="1:33" hidden="1">
      <c r="A25" s="483"/>
      <c r="B25" s="481" t="s">
        <v>43</v>
      </c>
      <c r="C25" s="491">
        <f t="shared" si="15"/>
        <v>0</v>
      </c>
      <c r="D25" s="491">
        <f t="shared" si="14"/>
        <v>0</v>
      </c>
      <c r="E25" s="491">
        <v>0</v>
      </c>
      <c r="F25" s="491">
        <v>0</v>
      </c>
      <c r="G25" s="491">
        <v>0</v>
      </c>
      <c r="H25" s="491">
        <v>0</v>
      </c>
      <c r="I25" s="543"/>
      <c r="J25" s="543"/>
      <c r="K25" s="543"/>
      <c r="L25" s="543"/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3"/>
      <c r="AF25" s="543"/>
    </row>
    <row r="26" spans="1:33">
      <c r="A26" s="483"/>
      <c r="B26" s="481" t="s">
        <v>74</v>
      </c>
      <c r="C26" s="491">
        <f t="shared" si="15"/>
        <v>26235211</v>
      </c>
      <c r="D26" s="491">
        <f t="shared" si="14"/>
        <v>30501971</v>
      </c>
      <c r="E26" s="491">
        <v>1818699</v>
      </c>
      <c r="F26" s="491">
        <v>2531895</v>
      </c>
      <c r="G26" s="491">
        <v>2936207</v>
      </c>
      <c r="H26" s="491">
        <v>3675604</v>
      </c>
      <c r="I26" s="543">
        <v>3517013</v>
      </c>
      <c r="J26" s="543">
        <v>3103551</v>
      </c>
      <c r="K26" s="543">
        <v>2882510</v>
      </c>
      <c r="L26" s="543">
        <v>2426511</v>
      </c>
      <c r="M26" s="543">
        <v>2096539</v>
      </c>
      <c r="N26" s="543">
        <v>1865473</v>
      </c>
      <c r="O26" s="543">
        <v>1934510</v>
      </c>
      <c r="P26" s="543">
        <v>1781233</v>
      </c>
      <c r="Q26" s="543">
        <v>1975142</v>
      </c>
      <c r="R26" s="543">
        <v>2307678</v>
      </c>
      <c r="S26" s="543">
        <v>3052956</v>
      </c>
      <c r="T26" s="543">
        <v>3180451</v>
      </c>
      <c r="U26" s="543">
        <v>3286166</v>
      </c>
      <c r="V26" s="543">
        <f>Feb!$G30</f>
        <v>2735718</v>
      </c>
      <c r="W26" s="543">
        <f>Mar!$G30</f>
        <v>2608561</v>
      </c>
      <c r="X26" s="543">
        <f>Apr!$G30</f>
        <v>2436951</v>
      </c>
      <c r="Y26" s="543">
        <f>May!$G30</f>
        <v>2203136</v>
      </c>
      <c r="Z26" s="543">
        <f>Jun!$G30</f>
        <v>1941783</v>
      </c>
      <c r="AA26" s="543">
        <f>Jul!$G30</f>
        <v>1912819</v>
      </c>
      <c r="AB26" s="543">
        <f>Aug!$G30</f>
        <v>1943542</v>
      </c>
      <c r="AC26" s="543">
        <f>Sep!$G30</f>
        <v>1945064</v>
      </c>
      <c r="AD26" s="543">
        <f>Oct!$G31</f>
        <v>2201297</v>
      </c>
      <c r="AE26" s="543">
        <f>Nov!$G31</f>
        <v>3020174</v>
      </c>
      <c r="AF26" s="543">
        <f>Dec!$G30</f>
        <v>0</v>
      </c>
    </row>
    <row r="27" spans="1:33" ht="16" thickBot="1">
      <c r="A27" s="483"/>
      <c r="B27" s="481" t="s">
        <v>21</v>
      </c>
      <c r="C27" s="491">
        <f t="shared" si="15"/>
        <v>149588594</v>
      </c>
      <c r="D27" s="542">
        <f t="shared" si="14"/>
        <v>201084465</v>
      </c>
      <c r="E27" s="542">
        <f>SUM(E19:E26)</f>
        <v>6409834</v>
      </c>
      <c r="F27" s="542">
        <f>SUM(F19:F26)</f>
        <v>16252041</v>
      </c>
      <c r="G27" s="542">
        <f t="shared" ref="G27:H27" si="16">SUM(G19:G26)</f>
        <v>24054373</v>
      </c>
      <c r="H27" s="542">
        <f t="shared" si="16"/>
        <v>34418458</v>
      </c>
      <c r="I27" s="542">
        <v>31759465</v>
      </c>
      <c r="J27" s="542">
        <v>30732294</v>
      </c>
      <c r="K27" s="542">
        <v>22715329</v>
      </c>
      <c r="L27" s="542">
        <v>14000465</v>
      </c>
      <c r="M27" s="542">
        <v>8312398</v>
      </c>
      <c r="N27" s="542">
        <v>6514751</v>
      </c>
      <c r="O27" s="542">
        <v>5757349</v>
      </c>
      <c r="P27" s="542">
        <v>5525718</v>
      </c>
      <c r="Q27" s="542">
        <v>6773435</v>
      </c>
      <c r="R27" s="542">
        <v>10520430</v>
      </c>
      <c r="S27" s="542">
        <v>25535994</v>
      </c>
      <c r="T27" s="542">
        <v>28660002</v>
      </c>
      <c r="U27" s="542">
        <v>29883272</v>
      </c>
      <c r="V27" s="542">
        <f t="shared" ref="V27:AF27" si="17">SUM(V19:V26)</f>
        <v>21809394</v>
      </c>
      <c r="W27" s="542">
        <f t="shared" si="17"/>
        <v>17454090</v>
      </c>
      <c r="X27" s="542">
        <f t="shared" si="17"/>
        <v>14032685</v>
      </c>
      <c r="Y27" s="542">
        <f t="shared" si="17"/>
        <v>7651890</v>
      </c>
      <c r="Z27" s="542">
        <f t="shared" si="17"/>
        <v>5795038</v>
      </c>
      <c r="AA27" s="542">
        <f t="shared" si="17"/>
        <v>5628267</v>
      </c>
      <c r="AB27" s="542">
        <f t="shared" si="17"/>
        <v>5459507</v>
      </c>
      <c r="AC27" s="542">
        <f t="shared" si="17"/>
        <v>7409442</v>
      </c>
      <c r="AD27" s="542">
        <f t="shared" si="17"/>
        <v>10024910</v>
      </c>
      <c r="AE27" s="542">
        <f t="shared" si="17"/>
        <v>24440099</v>
      </c>
      <c r="AF27" s="542">
        <f t="shared" si="17"/>
        <v>0</v>
      </c>
    </row>
    <row r="28" spans="1:33" ht="16" thickTop="1">
      <c r="A28" s="483"/>
      <c r="B28" s="481" t="s">
        <v>269</v>
      </c>
      <c r="C28" s="491">
        <f>SUM(U28:AF28)</f>
        <v>102254636</v>
      </c>
      <c r="D28" s="491">
        <f t="shared" si="14"/>
        <v>201084465</v>
      </c>
      <c r="E28" s="491">
        <v>6409834</v>
      </c>
      <c r="F28" s="491">
        <v>16252041</v>
      </c>
      <c r="G28" s="491">
        <v>24054373</v>
      </c>
      <c r="H28" s="491">
        <v>34418458</v>
      </c>
      <c r="I28" s="491">
        <v>31759465</v>
      </c>
      <c r="J28" s="491">
        <v>30732294</v>
      </c>
      <c r="K28" s="491">
        <v>22715329</v>
      </c>
      <c r="L28" s="491">
        <v>14000465</v>
      </c>
      <c r="M28" s="491">
        <v>8312398</v>
      </c>
      <c r="N28" s="491">
        <v>6514751</v>
      </c>
      <c r="O28" s="491">
        <v>5757349</v>
      </c>
      <c r="P28" s="491">
        <v>5525718</v>
      </c>
      <c r="Q28" s="491">
        <v>6773435</v>
      </c>
      <c r="R28" s="491">
        <v>10520430</v>
      </c>
      <c r="S28" s="491">
        <v>25535994</v>
      </c>
      <c r="T28" s="491">
        <v>28660002</v>
      </c>
      <c r="U28" s="491">
        <v>29883272</v>
      </c>
      <c r="V28" s="491">
        <v>21809394</v>
      </c>
      <c r="W28" s="491">
        <v>17454090</v>
      </c>
      <c r="X28" s="491">
        <v>14032685</v>
      </c>
      <c r="Y28" s="491">
        <v>7651890</v>
      </c>
      <c r="Z28" s="491">
        <v>5795038</v>
      </c>
      <c r="AA28" s="491">
        <v>5628267</v>
      </c>
      <c r="AB28" s="491"/>
      <c r="AC28" s="491"/>
      <c r="AD28" s="491"/>
      <c r="AE28" s="491"/>
      <c r="AF28" s="491"/>
      <c r="AG28" s="491"/>
    </row>
    <row r="29" spans="1:33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</row>
    <row r="30" spans="1:33">
      <c r="A30" s="484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D30" si="18">U30+1</f>
        <v>201502</v>
      </c>
      <c r="W30" s="484">
        <f t="shared" si="18"/>
        <v>201503</v>
      </c>
      <c r="X30" s="484">
        <f t="shared" si="18"/>
        <v>201504</v>
      </c>
      <c r="Y30" s="484">
        <f t="shared" si="18"/>
        <v>201505</v>
      </c>
      <c r="Z30" s="484">
        <f t="shared" si="18"/>
        <v>201506</v>
      </c>
      <c r="AA30" s="484">
        <f t="shared" si="18"/>
        <v>201507</v>
      </c>
      <c r="AB30" s="484">
        <f t="shared" si="18"/>
        <v>201508</v>
      </c>
      <c r="AC30" s="484">
        <f t="shared" si="18"/>
        <v>201509</v>
      </c>
      <c r="AD30" s="484">
        <f t="shared" si="18"/>
        <v>201510</v>
      </c>
      <c r="AE30" s="484">
        <f>AD30+1</f>
        <v>201511</v>
      </c>
      <c r="AF30" s="484">
        <f t="shared" ref="AF30" si="19">AE30+1</f>
        <v>201512</v>
      </c>
    </row>
    <row r="31" spans="1:33">
      <c r="A31" s="483"/>
      <c r="B31" s="481" t="s">
        <v>37</v>
      </c>
      <c r="E31" s="492">
        <v>3.3950000000000001E-2</v>
      </c>
      <c r="F31" s="492">
        <v>3.3950000000000001E-2</v>
      </c>
      <c r="G31" s="496" t="s">
        <v>270</v>
      </c>
      <c r="H31" s="496" t="s">
        <v>270</v>
      </c>
      <c r="I31" s="492">
        <v>-2.9299999999999999E-3</v>
      </c>
      <c r="J31" s="492">
        <v>-2.9299999999999999E-3</v>
      </c>
      <c r="K31" s="492">
        <v>-2.9299999999999999E-3</v>
      </c>
      <c r="L31" s="492">
        <v>-2.9299999999999999E-3</v>
      </c>
      <c r="M31" s="492">
        <v>-2.9299999999999999E-3</v>
      </c>
      <c r="N31" s="492">
        <v>-2.9299999999999999E-3</v>
      </c>
      <c r="O31" s="492">
        <v>-2.9299999999999999E-3</v>
      </c>
      <c r="P31" s="492">
        <v>-2.9299999999999999E-3</v>
      </c>
      <c r="Q31" s="492">
        <v>-2.9299999999999999E-3</v>
      </c>
      <c r="R31" s="492">
        <v>-2.9299999999999999E-3</v>
      </c>
      <c r="S31" s="496" t="s">
        <v>270</v>
      </c>
      <c r="T31" s="496" t="s">
        <v>270</v>
      </c>
      <c r="U31" s="492">
        <v>1.436E-2</v>
      </c>
      <c r="V31" s="492">
        <v>1.436E-2</v>
      </c>
      <c r="W31" s="492">
        <v>1.436E-2</v>
      </c>
      <c r="X31" s="492">
        <v>1.436E-2</v>
      </c>
      <c r="Y31" s="492">
        <v>1.436E-2</v>
      </c>
      <c r="Z31" s="492">
        <v>1.436E-2</v>
      </c>
      <c r="AA31" s="492">
        <v>1.436E-2</v>
      </c>
      <c r="AB31" s="492">
        <v>1.436E-2</v>
      </c>
      <c r="AC31" s="492">
        <v>1.436E-2</v>
      </c>
      <c r="AD31" s="492">
        <v>1.436E-2</v>
      </c>
      <c r="AE31" s="496" t="s">
        <v>270</v>
      </c>
      <c r="AF31" s="496" t="s">
        <v>270</v>
      </c>
    </row>
    <row r="32" spans="1:33">
      <c r="A32" s="483"/>
      <c r="B32" s="481" t="s">
        <v>38</v>
      </c>
      <c r="E32" s="492">
        <v>3.0599999999999999E-2</v>
      </c>
      <c r="F32" s="492">
        <v>3.0599999999999999E-2</v>
      </c>
      <c r="G32" s="496" t="s">
        <v>270</v>
      </c>
      <c r="H32" s="496" t="s">
        <v>270</v>
      </c>
      <c r="I32" s="492">
        <v>-5.5599999999999998E-3</v>
      </c>
      <c r="J32" s="492">
        <v>-5.5599999999999998E-3</v>
      </c>
      <c r="K32" s="492">
        <v>-5.5599999999999998E-3</v>
      </c>
      <c r="L32" s="492">
        <v>-5.5599999999999998E-3</v>
      </c>
      <c r="M32" s="492">
        <v>-5.5599999999999998E-3</v>
      </c>
      <c r="N32" s="492">
        <v>-5.5599999999999998E-3</v>
      </c>
      <c r="O32" s="492">
        <v>-5.5599999999999998E-3</v>
      </c>
      <c r="P32" s="492">
        <v>-5.5599999999999998E-3</v>
      </c>
      <c r="Q32" s="492">
        <v>-5.5599999999999998E-3</v>
      </c>
      <c r="R32" s="492">
        <v>-5.5599999999999998E-3</v>
      </c>
      <c r="S32" s="496" t="s">
        <v>270</v>
      </c>
      <c r="T32" s="496" t="s">
        <v>270</v>
      </c>
      <c r="U32" s="492">
        <v>8.0800000000000004E-3</v>
      </c>
      <c r="V32" s="492">
        <v>8.0800000000000004E-3</v>
      </c>
      <c r="W32" s="492">
        <v>8.0800000000000004E-3</v>
      </c>
      <c r="X32" s="492">
        <v>8.0800000000000004E-3</v>
      </c>
      <c r="Y32" s="492">
        <v>8.0800000000000004E-3</v>
      </c>
      <c r="Z32" s="492">
        <v>8.0800000000000004E-3</v>
      </c>
      <c r="AA32" s="492">
        <v>8.0800000000000004E-3</v>
      </c>
      <c r="AB32" s="492">
        <v>8.0800000000000004E-3</v>
      </c>
      <c r="AC32" s="492">
        <v>8.0800000000000004E-3</v>
      </c>
      <c r="AD32" s="492">
        <v>8.0800000000000004E-3</v>
      </c>
      <c r="AE32" s="496" t="s">
        <v>270</v>
      </c>
      <c r="AF32" s="496" t="s">
        <v>270</v>
      </c>
    </row>
    <row r="33" spans="1:39" hidden="1">
      <c r="A33" s="483"/>
      <c r="B33" s="481" t="s">
        <v>39</v>
      </c>
      <c r="E33" s="492"/>
      <c r="F33" s="492"/>
      <c r="G33" s="496" t="s">
        <v>270</v>
      </c>
      <c r="H33" s="496" t="s">
        <v>270</v>
      </c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 t="s">
        <v>270</v>
      </c>
      <c r="T33" s="496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6" t="s">
        <v>270</v>
      </c>
      <c r="AF33" s="496" t="s">
        <v>270</v>
      </c>
    </row>
    <row r="34" spans="1:39">
      <c r="A34" s="483"/>
      <c r="B34" s="481" t="s">
        <v>40</v>
      </c>
      <c r="E34" s="492">
        <v>2.998E-2</v>
      </c>
      <c r="F34" s="492">
        <v>2.998E-2</v>
      </c>
      <c r="G34" s="496" t="s">
        <v>270</v>
      </c>
      <c r="H34" s="496" t="s">
        <v>270</v>
      </c>
      <c r="I34" s="492">
        <v>-1.5820000000000001E-2</v>
      </c>
      <c r="J34" s="492">
        <v>-1.5820000000000001E-2</v>
      </c>
      <c r="K34" s="492">
        <v>-1.5820000000000001E-2</v>
      </c>
      <c r="L34" s="492">
        <v>-1.5820000000000001E-2</v>
      </c>
      <c r="M34" s="492">
        <v>-1.5820000000000001E-2</v>
      </c>
      <c r="N34" s="492">
        <v>-1.5820000000000001E-2</v>
      </c>
      <c r="O34" s="492">
        <v>-1.5820000000000001E-2</v>
      </c>
      <c r="P34" s="492">
        <v>-1.5820000000000001E-2</v>
      </c>
      <c r="Q34" s="492">
        <v>-1.5820000000000001E-2</v>
      </c>
      <c r="R34" s="492">
        <v>-1.5820000000000001E-2</v>
      </c>
      <c r="S34" s="496" t="s">
        <v>270</v>
      </c>
      <c r="T34" s="496" t="s">
        <v>270</v>
      </c>
      <c r="U34" s="492">
        <v>-1.0359999999999999E-2</v>
      </c>
      <c r="V34" s="492">
        <v>-1.0359999999999999E-2</v>
      </c>
      <c r="W34" s="492">
        <v>-1.0359999999999999E-2</v>
      </c>
      <c r="X34" s="492">
        <v>-1.0359999999999999E-2</v>
      </c>
      <c r="Y34" s="492">
        <v>-1.0359999999999999E-2</v>
      </c>
      <c r="Z34" s="492">
        <v>-1.0359999999999999E-2</v>
      </c>
      <c r="AA34" s="492">
        <v>-1.0359999999999999E-2</v>
      </c>
      <c r="AB34" s="492">
        <v>-1.0359999999999999E-2</v>
      </c>
      <c r="AC34" s="492">
        <v>-1.0359999999999999E-2</v>
      </c>
      <c r="AD34" s="492">
        <v>-1.0359999999999999E-2</v>
      </c>
      <c r="AE34" s="496" t="s">
        <v>270</v>
      </c>
      <c r="AF34" s="496" t="s">
        <v>270</v>
      </c>
    </row>
    <row r="35" spans="1:39" hidden="1">
      <c r="A35" s="483"/>
      <c r="B35" s="481" t="s">
        <v>41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</row>
    <row r="36" spans="1:39" ht="16" thickBot="1">
      <c r="A36" s="483"/>
      <c r="B36" s="481" t="s">
        <v>42</v>
      </c>
      <c r="E36" s="492">
        <v>5.7389999999999997E-2</v>
      </c>
      <c r="F36" s="492">
        <v>5.7389999999999997E-2</v>
      </c>
      <c r="G36" s="496" t="s">
        <v>270</v>
      </c>
      <c r="H36" s="496" t="s">
        <v>270</v>
      </c>
      <c r="I36" s="492">
        <v>3.0499999999999999E-2</v>
      </c>
      <c r="J36" s="492">
        <v>3.0499999999999999E-2</v>
      </c>
      <c r="K36" s="492">
        <v>3.0499999999999999E-2</v>
      </c>
      <c r="L36" s="492">
        <v>3.0499999999999999E-2</v>
      </c>
      <c r="M36" s="492">
        <v>3.0499999999999999E-2</v>
      </c>
      <c r="N36" s="492">
        <v>3.0499999999999999E-2</v>
      </c>
      <c r="O36" s="492">
        <v>3.0499999999999999E-2</v>
      </c>
      <c r="P36" s="492">
        <v>3.0499999999999999E-2</v>
      </c>
      <c r="Q36" s="492">
        <v>3.0499999999999999E-2</v>
      </c>
      <c r="R36" s="492">
        <v>3.0499999999999999E-2</v>
      </c>
      <c r="S36" s="496" t="s">
        <v>270</v>
      </c>
      <c r="T36" s="496" t="s">
        <v>270</v>
      </c>
      <c r="U36" s="492">
        <v>-2.3310000000000001E-2</v>
      </c>
      <c r="V36" s="492">
        <v>-2.3310000000000001E-2</v>
      </c>
      <c r="W36" s="492">
        <v>-2.3310000000000001E-2</v>
      </c>
      <c r="X36" s="492">
        <v>-2.3310000000000001E-2</v>
      </c>
      <c r="Y36" s="492">
        <v>-2.3310000000000001E-2</v>
      </c>
      <c r="Z36" s="492">
        <v>-2.3310000000000001E-2</v>
      </c>
      <c r="AA36" s="492">
        <v>-2.3310000000000001E-2</v>
      </c>
      <c r="AB36" s="492">
        <v>-2.3310000000000001E-2</v>
      </c>
      <c r="AC36" s="492">
        <v>-2.3310000000000001E-2</v>
      </c>
      <c r="AD36" s="492">
        <v>-2.3310000000000001E-2</v>
      </c>
      <c r="AE36" s="496" t="s">
        <v>270</v>
      </c>
      <c r="AF36" s="496" t="s">
        <v>270</v>
      </c>
    </row>
    <row r="37" spans="1:39" ht="16" hidden="1" thickBot="1">
      <c r="A37" s="483"/>
      <c r="B37" s="481" t="s">
        <v>43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H37" s="483"/>
      <c r="AI37" s="484"/>
      <c r="AJ37" s="483"/>
      <c r="AK37" s="483"/>
      <c r="AL37" s="483"/>
      <c r="AM37" s="483"/>
    </row>
    <row r="38" spans="1:39" ht="16" thickBot="1">
      <c r="A38" s="483"/>
      <c r="B38" s="481" t="s">
        <v>74</v>
      </c>
      <c r="E38" s="492">
        <v>0</v>
      </c>
      <c r="F38" s="492">
        <v>0</v>
      </c>
      <c r="G38" s="496" t="s">
        <v>270</v>
      </c>
      <c r="H38" s="496" t="s">
        <v>270</v>
      </c>
      <c r="I38" s="492">
        <v>0</v>
      </c>
      <c r="J38" s="492">
        <v>0</v>
      </c>
      <c r="K38" s="492">
        <v>0</v>
      </c>
      <c r="L38" s="492">
        <v>0</v>
      </c>
      <c r="M38" s="492">
        <v>0</v>
      </c>
      <c r="N38" s="492">
        <v>0</v>
      </c>
      <c r="O38" s="492">
        <v>0</v>
      </c>
      <c r="P38" s="492">
        <v>0</v>
      </c>
      <c r="Q38" s="492">
        <v>0</v>
      </c>
      <c r="R38" s="492">
        <v>0</v>
      </c>
      <c r="S38" s="496" t="s">
        <v>270</v>
      </c>
      <c r="T38" s="496" t="s">
        <v>270</v>
      </c>
      <c r="U38" s="492">
        <v>0</v>
      </c>
      <c r="V38" s="492">
        <v>0</v>
      </c>
      <c r="W38" s="492">
        <v>0</v>
      </c>
      <c r="X38" s="492">
        <v>0</v>
      </c>
      <c r="Y38" s="492">
        <v>0</v>
      </c>
      <c r="Z38" s="492">
        <v>0</v>
      </c>
      <c r="AA38" s="492">
        <v>0</v>
      </c>
      <c r="AB38" s="492">
        <v>0</v>
      </c>
      <c r="AC38" s="492">
        <v>0</v>
      </c>
      <c r="AD38" s="492">
        <v>0</v>
      </c>
      <c r="AE38" s="496" t="s">
        <v>270</v>
      </c>
      <c r="AF38" s="496" t="s">
        <v>270</v>
      </c>
      <c r="AH38" s="513">
        <f>AH4</f>
        <v>201507</v>
      </c>
      <c r="AI38" s="526"/>
      <c r="AJ38" s="514"/>
      <c r="AK38" s="514"/>
      <c r="AL38" s="514"/>
      <c r="AM38" s="515"/>
    </row>
    <row r="39" spans="1:39">
      <c r="A39" s="483" t="s">
        <v>293</v>
      </c>
      <c r="E39" s="492"/>
      <c r="F39" s="492"/>
      <c r="G39" s="496"/>
      <c r="H39" s="496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H39" s="497" t="s">
        <v>298</v>
      </c>
      <c r="AI39" s="527">
        <v>419600</v>
      </c>
      <c r="AJ39" s="498" t="s">
        <v>288</v>
      </c>
      <c r="AK39" s="498" t="s">
        <v>289</v>
      </c>
      <c r="AL39" s="519">
        <v>0</v>
      </c>
      <c r="AM39" s="520">
        <f>IF(SUMIF(E40:AF40,AH38,E44:AF44)&gt;0,SUMIF(E40:AF40,AH38,E44:AF44),0)</f>
        <v>0</v>
      </c>
    </row>
    <row r="40" spans="1:39" s="483" customFormat="1">
      <c r="A40" s="484">
        <v>191000</v>
      </c>
      <c r="B40" s="485" t="s">
        <v>256</v>
      </c>
      <c r="C40" s="486" t="s">
        <v>251</v>
      </c>
      <c r="D40" s="686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D40" si="20">U40+1</f>
        <v>201502</v>
      </c>
      <c r="W40" s="484">
        <f t="shared" si="20"/>
        <v>201503</v>
      </c>
      <c r="X40" s="484">
        <f t="shared" si="20"/>
        <v>201504</v>
      </c>
      <c r="Y40" s="484">
        <f t="shared" si="20"/>
        <v>201505</v>
      </c>
      <c r="Z40" s="484">
        <f t="shared" si="20"/>
        <v>201506</v>
      </c>
      <c r="AA40" s="484">
        <f t="shared" si="20"/>
        <v>201507</v>
      </c>
      <c r="AB40" s="484">
        <f t="shared" si="20"/>
        <v>201508</v>
      </c>
      <c r="AC40" s="484">
        <f t="shared" si="20"/>
        <v>201509</v>
      </c>
      <c r="AD40" s="484">
        <f t="shared" si="20"/>
        <v>201510</v>
      </c>
      <c r="AE40" s="484">
        <f>AD40+1</f>
        <v>201511</v>
      </c>
      <c r="AF40" s="484">
        <f t="shared" ref="AF40" si="21">AE40+1</f>
        <v>201512</v>
      </c>
      <c r="AH40" s="499" t="s">
        <v>299</v>
      </c>
      <c r="AI40" s="528">
        <v>431600</v>
      </c>
      <c r="AJ40" s="358" t="s">
        <v>288</v>
      </c>
      <c r="AK40" s="358" t="s">
        <v>289</v>
      </c>
      <c r="AL40" s="381">
        <f>IF(SUMIF(E40:AF40,AH38,E44:AF44)&lt;0,-SUMIF(E40:AF40,AH38,E44:AF44),0)</f>
        <v>1504.4113307503878</v>
      </c>
      <c r="AM40" s="500">
        <v>0</v>
      </c>
    </row>
    <row r="41" spans="1:39" s="483" customFormat="1">
      <c r="B41" s="485" t="s">
        <v>257</v>
      </c>
      <c r="C41" s="482"/>
      <c r="E41" s="488">
        <v>3.2500000000000001E-2</v>
      </c>
      <c r="F41" s="488">
        <v>3.2500000000000001E-2</v>
      </c>
      <c r="G41" s="488">
        <v>3.2500000000000001E-2</v>
      </c>
      <c r="H41" s="488">
        <v>3.2500000000000001E-2</v>
      </c>
      <c r="I41" s="488">
        <v>3.2500000000000001E-2</v>
      </c>
      <c r="J41" s="488">
        <v>3.2500000000000001E-2</v>
      </c>
      <c r="K41" s="488">
        <v>3.2500000000000001E-2</v>
      </c>
      <c r="L41" s="488">
        <v>3.2500000000000001E-2</v>
      </c>
      <c r="M41" s="488">
        <v>3.2500000000000001E-2</v>
      </c>
      <c r="N41" s="488">
        <v>3.2500000000000001E-2</v>
      </c>
      <c r="O41" s="488">
        <v>3.2500000000000001E-2</v>
      </c>
      <c r="P41" s="488">
        <v>3.2500000000000001E-2</v>
      </c>
      <c r="Q41" s="488">
        <v>3.2500000000000001E-2</v>
      </c>
      <c r="R41" s="488">
        <v>3.2500000000000001E-2</v>
      </c>
      <c r="S41" s="488">
        <v>3.2500000000000001E-2</v>
      </c>
      <c r="T41" s="488">
        <v>3.2500000000000001E-2</v>
      </c>
      <c r="U41" s="488">
        <v>3.2500000000000001E-2</v>
      </c>
      <c r="V41" s="488">
        <v>3.2500000000000001E-2</v>
      </c>
      <c r="W41" s="488">
        <v>3.2500000000000001E-2</v>
      </c>
      <c r="X41" s="488">
        <v>3.2500000000000001E-2</v>
      </c>
      <c r="Y41" s="488">
        <v>3.2500000000000001E-2</v>
      </c>
      <c r="Z41" s="488">
        <v>3.2500000000000001E-2</v>
      </c>
      <c r="AA41" s="488">
        <v>3.2500000000000001E-2</v>
      </c>
      <c r="AB41" s="488">
        <v>3.2500000000000001E-2</v>
      </c>
      <c r="AC41" s="488">
        <v>3.2500000000000001E-2</v>
      </c>
      <c r="AD41" s="488">
        <v>3.2500000000000001E-2</v>
      </c>
      <c r="AE41" s="488">
        <v>3.2500000000000001E-2</v>
      </c>
      <c r="AF41" s="488">
        <v>3.2500000000000001E-2</v>
      </c>
      <c r="AH41" s="499" t="s">
        <v>300</v>
      </c>
      <c r="AI41" s="528">
        <v>191000</v>
      </c>
      <c r="AJ41" s="358" t="s">
        <v>288</v>
      </c>
      <c r="AK41" s="358" t="s">
        <v>289</v>
      </c>
      <c r="AL41" s="381">
        <f>IF((SUMIF(E40:AF40,AH38,E43:AF43)+SUMIF(E40:AF40,AH38,E44:AF44))&gt;0,(SUMIF(E40:AF40,AH38,E43:AF43)+SUMIF(E40:AF40,AH38,E44:AF44)),0)</f>
        <v>37431.763109249616</v>
      </c>
      <c r="AM41" s="500">
        <f>IF((SUMIF(E40:AF40,AH38,E43:AF43)+SUMIF(E40:AF40,AH38,E44:AF44))&lt;0,-(SUMIF(E40:AF40,AH38,E43:AF43)+SUMIF(E40:AF40,AH38,E44:AF44)),0)</f>
        <v>0</v>
      </c>
    </row>
    <row r="42" spans="1:39">
      <c r="A42" s="493"/>
      <c r="B42" s="481" t="s">
        <v>253</v>
      </c>
      <c r="E42" s="482">
        <v>-194854.27149590768</v>
      </c>
      <c r="F42" s="482">
        <f>E47</f>
        <v>-46035.360287444513</v>
      </c>
      <c r="G42" s="482">
        <f>F47</f>
        <v>404885.58467682183</v>
      </c>
      <c r="H42" s="482">
        <f>G47</f>
        <v>1486369.5928734979</v>
      </c>
      <c r="I42" s="482">
        <v>1388326.8065187801</v>
      </c>
      <c r="J42" s="482">
        <v>1256080.2312424269</v>
      </c>
      <c r="K42" s="482">
        <v>1153258.7731084346</v>
      </c>
      <c r="L42" s="482">
        <v>1078717.1045833002</v>
      </c>
      <c r="M42" s="482">
        <v>1033496.2426010612</v>
      </c>
      <c r="N42" s="482">
        <v>1007906.7387058339</v>
      </c>
      <c r="O42" s="482">
        <v>987738.42680743511</v>
      </c>
      <c r="P42" s="482">
        <v>972066.68936231779</v>
      </c>
      <c r="Q42" s="482">
        <v>955827.4742971377</v>
      </c>
      <c r="R42" s="482">
        <v>935484.97275235492</v>
      </c>
      <c r="S42" s="482">
        <v>900376.74388303224</v>
      </c>
      <c r="T42" s="482">
        <v>-1984640.7833043733</v>
      </c>
      <c r="U42" s="482">
        <v>-1530288.7769039478</v>
      </c>
      <c r="V42" s="482">
        <f>U47</f>
        <v>-1203520.6941716045</v>
      </c>
      <c r="W42" s="482">
        <f t="shared" ref="W42:AD42" si="22">V47</f>
        <v>-978605.01769356499</v>
      </c>
      <c r="X42" s="482">
        <f t="shared" si="22"/>
        <v>-801445.32791263924</v>
      </c>
      <c r="Y42" s="482">
        <f t="shared" si="22"/>
        <v>-669275.24177190254</v>
      </c>
      <c r="Z42" s="482">
        <f t="shared" si="22"/>
        <v>-610882.24266902648</v>
      </c>
      <c r="AA42" s="482">
        <f t="shared" si="22"/>
        <v>-574943.04011245095</v>
      </c>
      <c r="AB42" s="482">
        <f t="shared" si="22"/>
        <v>-537511.27700320142</v>
      </c>
      <c r="AC42" s="482">
        <f t="shared" si="22"/>
        <v>-503286.03358886426</v>
      </c>
      <c r="AD42" s="482">
        <f t="shared" si="22"/>
        <v>-446057.56644618412</v>
      </c>
      <c r="AE42" s="482">
        <f>AD47</f>
        <v>-360324.16779451753</v>
      </c>
      <c r="AF42" s="482">
        <f t="shared" ref="AF42" si="23">AE47</f>
        <v>-361300.04574896104</v>
      </c>
      <c r="AH42" s="499" t="s">
        <v>301</v>
      </c>
      <c r="AI42" s="528">
        <v>805110</v>
      </c>
      <c r="AJ42" s="358" t="s">
        <v>288</v>
      </c>
      <c r="AK42" s="358" t="s">
        <v>289</v>
      </c>
      <c r="AL42" s="381">
        <f>IF((SUMIF(E40:AF40,AH38,E43:AF43))&lt;0,-(SUMIF(E40:AF40,AH38,E43:AF43)),0)</f>
        <v>0</v>
      </c>
      <c r="AM42" s="500">
        <f>IF((SUMIF(E40:AF40,AH38,E43:AF43))&gt;0,(SUMIF(E40:AF40,AH38,E43:AF43)),0)</f>
        <v>38936.174440000003</v>
      </c>
    </row>
    <row r="43" spans="1:39">
      <c r="B43" s="481" t="s">
        <v>23</v>
      </c>
      <c r="C43" s="482">
        <f>SUM(U43:AF43)</f>
        <v>1189629.81828</v>
      </c>
      <c r="D43" s="494">
        <f>SUM(G43:R43)</f>
        <v>-672918.74727999989</v>
      </c>
      <c r="E43" s="482">
        <f>SUMPRODUCT(E19:E26,E31:E38)</f>
        <v>149144.67478</v>
      </c>
      <c r="F43" s="482">
        <f>SUMPRODUCT(F19:F26,F31:F38)</f>
        <v>450435.65911000001</v>
      </c>
      <c r="G43" s="482">
        <v>-82277.84</v>
      </c>
      <c r="H43" s="482">
        <v>-101930.34</v>
      </c>
      <c r="I43" s="482">
        <v>-108116.73896</v>
      </c>
      <c r="J43" s="482">
        <v>-106079.69250999999</v>
      </c>
      <c r="K43" s="482">
        <v>-77560.048470000009</v>
      </c>
      <c r="L43" s="482">
        <v>-48077.28282</v>
      </c>
      <c r="M43" s="482">
        <v>-28350.165369999999</v>
      </c>
      <c r="N43" s="482">
        <v>-22867.09346</v>
      </c>
      <c r="O43" s="482">
        <v>-18322.051239999997</v>
      </c>
      <c r="P43" s="482">
        <v>-18846.37455</v>
      </c>
      <c r="Q43" s="482">
        <v>-22900.190279999999</v>
      </c>
      <c r="R43" s="482">
        <v>-37590.929620000003</v>
      </c>
      <c r="S43" s="557">
        <v>257672.26615000004</v>
      </c>
      <c r="T43" s="557">
        <v>312766.45</v>
      </c>
      <c r="U43" s="482">
        <v>330465.11</v>
      </c>
      <c r="V43" s="482">
        <f>SUMPRODUCT(V19:V26,V31:V38)</f>
        <v>227866.64228000003</v>
      </c>
      <c r="W43" s="482">
        <f t="shared" ref="W43:X43" si="24">SUMPRODUCT(W19:W26,W31:W38)</f>
        <v>179566.91484000001</v>
      </c>
      <c r="X43" s="482">
        <f t="shared" si="24"/>
        <v>134158.99359999999</v>
      </c>
      <c r="Y43" s="482">
        <f>SUMPRODUCT(Y19:Y26,Y31:Y38)</f>
        <v>60124.201359999999</v>
      </c>
      <c r="Z43" s="482">
        <f t="shared" ref="Z43:AD43" si="25">SUMPRODUCT(Z19:Z26,Z31:Z38)</f>
        <v>37542.836040000002</v>
      </c>
      <c r="AA43" s="482">
        <f t="shared" si="25"/>
        <v>38936.174440000003</v>
      </c>
      <c r="AB43" s="482">
        <f t="shared" si="25"/>
        <v>35632.750439999996</v>
      </c>
      <c r="AC43" s="482">
        <f t="shared" si="25"/>
        <v>58512.29808</v>
      </c>
      <c r="AD43" s="482">
        <f t="shared" si="25"/>
        <v>86823.897200000007</v>
      </c>
      <c r="AE43" s="563"/>
      <c r="AF43" s="563"/>
      <c r="AH43" s="153" t="s">
        <v>156</v>
      </c>
      <c r="AI43" s="209">
        <f>AI41</f>
        <v>191000</v>
      </c>
      <c r="AJ43" s="209" t="str">
        <f t="shared" ref="AJ43:AK44" si="26">AJ41</f>
        <v>GD</v>
      </c>
      <c r="AK43" s="209" t="str">
        <f t="shared" si="26"/>
        <v>WA</v>
      </c>
      <c r="AL43" s="472">
        <v>0</v>
      </c>
      <c r="AM43" s="462">
        <v>0</v>
      </c>
    </row>
    <row r="44" spans="1:39" ht="16" thickBot="1">
      <c r="B44" s="481" t="s">
        <v>4</v>
      </c>
      <c r="C44" s="482">
        <f t="shared" ref="C44:C46" si="27">SUM(U44:AF44)</f>
        <v>-21619.608082249844</v>
      </c>
      <c r="D44" s="494">
        <f>SUM(G44:R44)</f>
        <v>36498.65781942301</v>
      </c>
      <c r="E44" s="482">
        <f>(E42*(E41/12))+((E43/2)*(E41/12))</f>
        <v>-325.7635715368333</v>
      </c>
      <c r="F44" s="482">
        <f>(F42*(F41/12))+((F43/2)*(F41/12))</f>
        <v>485.28585426629616</v>
      </c>
      <c r="G44" s="482">
        <f>((G42+G45)*(G41/12))+(((G43+G46)/2)*(G41/12))</f>
        <v>4107.1195298889406</v>
      </c>
      <c r="H44" s="489">
        <f>(H42*(H41/12))+((H43/2)*(H41/12))</f>
        <v>3887.5536452823899</v>
      </c>
      <c r="I44" s="489">
        <v>3613.643683646696</v>
      </c>
      <c r="J44" s="489">
        <v>3258.2343760076146</v>
      </c>
      <c r="K44" s="489">
        <v>3018.3799448655523</v>
      </c>
      <c r="L44" s="489">
        <v>2856.4208377610212</v>
      </c>
      <c r="M44" s="489">
        <v>2760.6614747726658</v>
      </c>
      <c r="N44" s="489">
        <v>2698.7815616012172</v>
      </c>
      <c r="O44" s="489">
        <v>2650.3137948826366</v>
      </c>
      <c r="P44" s="489">
        <v>2607.1594848198192</v>
      </c>
      <c r="Q44" s="489">
        <v>2557.688735217248</v>
      </c>
      <c r="R44" s="489">
        <v>2482.7007506772115</v>
      </c>
      <c r="S44" s="559">
        <v>-5609.7233374053303</v>
      </c>
      <c r="T44" s="560">
        <v>-4753.3635995743443</v>
      </c>
      <c r="U44" s="489">
        <v>-3697.0272676565255</v>
      </c>
      <c r="V44" s="489">
        <f t="shared" ref="V44:AD44" si="28">((V42*(V41/12))+((V43/2)*(V41/12)))</f>
        <v>-2950.9658019605959</v>
      </c>
      <c r="W44" s="489">
        <f>((W42*(W41/12))+((W43/2)*(W41/12)))</f>
        <v>-2407.2250590742387</v>
      </c>
      <c r="X44" s="489">
        <f t="shared" si="28"/>
        <v>-1988.9074592633983</v>
      </c>
      <c r="Y44" s="489">
        <f t="shared" si="28"/>
        <v>-1731.2022571239027</v>
      </c>
      <c r="Z44" s="489">
        <f t="shared" si="28"/>
        <v>-1603.6334834244467</v>
      </c>
      <c r="AA44" s="489">
        <f t="shared" si="28"/>
        <v>-1504.4113307503878</v>
      </c>
      <c r="AB44" s="489">
        <f t="shared" si="28"/>
        <v>-1407.5070256628373</v>
      </c>
      <c r="AC44" s="489">
        <f t="shared" si="28"/>
        <v>-1283.8309373198406</v>
      </c>
      <c r="AD44" s="489">
        <f t="shared" si="28"/>
        <v>-1090.4985483334153</v>
      </c>
      <c r="AE44" s="560">
        <f>((AE42+AE45)*(AE41/12))+(((AE43+AE46)/2)*(AE41/12))</f>
        <v>-975.87795444348501</v>
      </c>
      <c r="AF44" s="560">
        <f>((AF42+AF45)*(AF41/12))+(((AF43+AF46)/2)*(AF41/12))</f>
        <v>-978.5209572367695</v>
      </c>
      <c r="AH44" s="154" t="str">
        <f>AH43</f>
        <v>Large Customer Refund</v>
      </c>
      <c r="AI44" s="561">
        <f>AI42</f>
        <v>805110</v>
      </c>
      <c r="AJ44" s="561" t="str">
        <f t="shared" si="26"/>
        <v>GD</v>
      </c>
      <c r="AK44" s="561" t="str">
        <f t="shared" si="26"/>
        <v>WA</v>
      </c>
      <c r="AL44" s="464">
        <f>AM43</f>
        <v>0</v>
      </c>
      <c r="AM44" s="473">
        <f>AL43</f>
        <v>0</v>
      </c>
    </row>
    <row r="45" spans="1:39" ht="16" thickBot="1">
      <c r="B45" s="481" t="s">
        <v>259</v>
      </c>
      <c r="C45" s="482">
        <f t="shared" si="27"/>
        <v>0</v>
      </c>
      <c r="E45" s="482">
        <v>0</v>
      </c>
      <c r="F45" s="482">
        <v>0</v>
      </c>
      <c r="G45" s="482">
        <v>1145801.7486667871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-3063910.6100000003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63">
        <f>-AE11-AE10-AE9</f>
        <v>0</v>
      </c>
      <c r="AF45" s="563">
        <v>0</v>
      </c>
      <c r="AH45" s="516"/>
      <c r="AI45" s="530"/>
      <c r="AJ45" s="517"/>
      <c r="AK45" s="517"/>
      <c r="AL45" s="517" t="s">
        <v>159</v>
      </c>
      <c r="AM45" s="518">
        <f>SUM(AL39:AL44)-SUM(AM39:AM44)</f>
        <v>0</v>
      </c>
    </row>
    <row r="46" spans="1:39">
      <c r="B46" s="481" t="s">
        <v>148</v>
      </c>
      <c r="C46" s="482">
        <f t="shared" si="27"/>
        <v>0</v>
      </c>
      <c r="E46" s="482">
        <v>0</v>
      </c>
      <c r="F46" s="482">
        <v>0</v>
      </c>
      <c r="G46" s="482">
        <v>13852.98</v>
      </c>
      <c r="H46" s="482">
        <v>0</v>
      </c>
      <c r="I46" s="538">
        <v>-27743.479999999981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-73169.460000000006</v>
      </c>
      <c r="T46" s="557">
        <v>146338.92000000001</v>
      </c>
      <c r="U46" s="563">
        <v>0</v>
      </c>
      <c r="V46" s="482">
        <v>0</v>
      </c>
      <c r="W46" s="482">
        <v>0</v>
      </c>
      <c r="X46" s="482">
        <v>0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63"/>
      <c r="AF46" s="563">
        <f>-AE46*2</f>
        <v>0</v>
      </c>
    </row>
    <row r="47" spans="1:39" ht="16" thickBot="1">
      <c r="B47" s="481" t="s">
        <v>56</v>
      </c>
      <c r="C47" s="541">
        <f>SUM(C43:C46)</f>
        <v>1168010.2101977502</v>
      </c>
      <c r="D47" s="541"/>
      <c r="E47" s="541">
        <f>SUM(E42:E46)</f>
        <v>-46035.360287444513</v>
      </c>
      <c r="F47" s="541">
        <f t="shared" ref="F47:H47" si="29">SUM(F42:F46)</f>
        <v>404885.58467682183</v>
      </c>
      <c r="G47" s="541">
        <f t="shared" si="29"/>
        <v>1486369.5928734979</v>
      </c>
      <c r="H47" s="541">
        <f t="shared" si="29"/>
        <v>1388326.8065187801</v>
      </c>
      <c r="I47" s="541">
        <v>1256080.2312424269</v>
      </c>
      <c r="J47" s="541">
        <v>1153258.7731084346</v>
      </c>
      <c r="K47" s="541">
        <v>1078717.1045833002</v>
      </c>
      <c r="L47" s="541">
        <v>1033496.2426010612</v>
      </c>
      <c r="M47" s="541">
        <v>1007906.7387058339</v>
      </c>
      <c r="N47" s="541">
        <v>987738.42680743511</v>
      </c>
      <c r="O47" s="541">
        <v>972066.68936231779</v>
      </c>
      <c r="P47" s="541">
        <v>955827.4742971377</v>
      </c>
      <c r="Q47" s="541">
        <v>935484.97275235492</v>
      </c>
      <c r="R47" s="541">
        <v>900376.74388303224</v>
      </c>
      <c r="S47" s="541">
        <v>-1984640.7833043733</v>
      </c>
      <c r="T47" s="541">
        <v>-1530288.7769039478</v>
      </c>
      <c r="U47" s="541">
        <v>-1203520.6941716045</v>
      </c>
      <c r="V47" s="541">
        <f t="shared" ref="V47:AF47" si="30">SUM(V42:V46)</f>
        <v>-978605.01769356499</v>
      </c>
      <c r="W47" s="541">
        <f t="shared" si="30"/>
        <v>-801445.32791263924</v>
      </c>
      <c r="X47" s="541">
        <f t="shared" si="30"/>
        <v>-669275.24177190254</v>
      </c>
      <c r="Y47" s="541">
        <f t="shared" si="30"/>
        <v>-610882.24266902648</v>
      </c>
      <c r="Z47" s="541">
        <f t="shared" si="30"/>
        <v>-574943.04011245095</v>
      </c>
      <c r="AA47" s="541">
        <f t="shared" si="30"/>
        <v>-537511.27700320142</v>
      </c>
      <c r="AB47" s="541">
        <f t="shared" si="30"/>
        <v>-503286.03358886426</v>
      </c>
      <c r="AC47" s="541">
        <f t="shared" si="30"/>
        <v>-446057.56644618412</v>
      </c>
      <c r="AD47" s="541">
        <f t="shared" si="30"/>
        <v>-360324.16779451753</v>
      </c>
      <c r="AE47" s="541">
        <f t="shared" si="30"/>
        <v>-361300.04574896104</v>
      </c>
      <c r="AF47" s="541">
        <f t="shared" si="30"/>
        <v>-362278.5667061978</v>
      </c>
    </row>
    <row r="48" spans="1:39" ht="16" thickTop="1">
      <c r="B48" s="481" t="s">
        <v>260</v>
      </c>
      <c r="E48" s="482" t="e">
        <f ca="1">_xll.Get_Balance(E40,"YTD","USD","Total","A","","001",$A$40,"GD","WA","DL")</f>
        <v>#NAME?</v>
      </c>
      <c r="F48" s="482" t="e">
        <f ca="1">_xll.Get_Balance(F40,"YTD","USD","Total","A","","001",$A$40,"GD","WA","DL")</f>
        <v>#NAME?</v>
      </c>
      <c r="G48" s="482" t="e">
        <f ca="1">_xll.Get_Balance(G40,"YTD","USD","Total","A","","001",$A$40,"GD","WA","DL")</f>
        <v>#NAME?</v>
      </c>
      <c r="H48" s="482" t="e">
        <f ca="1">_xll.Get_Balance(H40,"YTD","USD","Total","A","","001",$A$40,"GD","WA","DL")</f>
        <v>#NAME?</v>
      </c>
      <c r="I48" s="482">
        <v>1256080.45</v>
      </c>
      <c r="J48" s="482">
        <v>1153258.99</v>
      </c>
      <c r="K48" s="482">
        <v>1078717.32</v>
      </c>
      <c r="L48" s="482">
        <v>1033496.46</v>
      </c>
      <c r="M48" s="482">
        <v>1007906.96</v>
      </c>
      <c r="N48" s="482">
        <v>987738.65</v>
      </c>
      <c r="O48" s="482">
        <v>972066.91</v>
      </c>
      <c r="P48" s="482">
        <v>955827.69</v>
      </c>
      <c r="Q48" s="482">
        <v>935485.19</v>
      </c>
      <c r="R48" s="482">
        <v>900376.96</v>
      </c>
      <c r="S48" s="482">
        <v>-1984640.57</v>
      </c>
      <c r="T48" s="482">
        <v>-1530288.56</v>
      </c>
      <c r="U48" s="482">
        <v>-1203520.48</v>
      </c>
      <c r="V48" s="482" t="e">
        <f ca="1">_xll.Get_Balance(V40,"YTD","USD","Total","A","","001",$A$40,"GD","WA","DL")</f>
        <v>#NAME?</v>
      </c>
      <c r="W48" s="482" t="e">
        <f ca="1">_xll.Get_Balance(W40,"YTD","USD","Total","A","","001",$A$40,"GD","WA","DL")</f>
        <v>#NAME?</v>
      </c>
      <c r="X48" s="482" t="e">
        <f ca="1">_xll.Get_Balance(X40,"YTD","USD","Total","A","","001",$A$40,"GD","WA","DL")</f>
        <v>#NAME?</v>
      </c>
      <c r="Y48" s="482" t="e">
        <f ca="1">_xll.Get_Balance(Y40,"YTD","USD","Total","A","","001",$A$40,"GD","WA","DL")</f>
        <v>#NAME?</v>
      </c>
      <c r="Z48" s="482" t="e">
        <f ca="1">_xll.Get_Balance(Z40,"YTD","USD","Total","A","","001",$A$40,"GD","WA","DL")</f>
        <v>#NAME?</v>
      </c>
      <c r="AA48" s="482" t="e">
        <f ca="1">_xll.Get_Balance(AA40,"YTD","USD","Total","A","","001",$A$40,"GD","WA","DL")</f>
        <v>#NAME?</v>
      </c>
      <c r="AB48" s="482" t="e">
        <f ca="1">_xll.Get_Balance(AB40,"YTD","USD","Total","A","","001",$A$40,"GD","WA","DL")</f>
        <v>#NAME?</v>
      </c>
      <c r="AC48" s="482" t="e">
        <f ca="1">_xll.Get_Balance(AC40,"YTD","USD","Total","A","","001",$A$40,"GD","WA","DL")</f>
        <v>#NAME?</v>
      </c>
      <c r="AD48" s="482" t="e">
        <f ca="1">_xll.Get_Balance(AD40,"YTD","USD","Total","A","","001",$A$40,"GD","WA","DL")</f>
        <v>#NAME?</v>
      </c>
      <c r="AE48" s="482" t="e">
        <f ca="1">_xll.Get_Balance(AE40,"YTD","USD","Total","A","","001",$A$40,"GD","WA","DL")</f>
        <v>#NAME?</v>
      </c>
      <c r="AF48" s="482" t="e">
        <f ca="1">_xll.Get_Balance(AF40,"YTD","USD","Total","A","","001",$A$40,"GD","WA","DL")</f>
        <v>#NAME?</v>
      </c>
      <c r="AL48" s="563"/>
    </row>
    <row r="49" spans="1:38">
      <c r="B49" s="481" t="s">
        <v>245</v>
      </c>
      <c r="E49" s="482" t="e">
        <f t="shared" ref="E49:H49" ca="1" si="31">E47-E48</f>
        <v>#NAME?</v>
      </c>
      <c r="F49" s="482" t="e">
        <f t="shared" ca="1" si="31"/>
        <v>#NAME?</v>
      </c>
      <c r="G49" s="482" t="e">
        <f t="shared" ca="1" si="31"/>
        <v>#NAME?</v>
      </c>
      <c r="H49" s="482" t="e">
        <f t="shared" ca="1" si="31"/>
        <v>#NAME?</v>
      </c>
      <c r="I49" s="482">
        <v>-0.21875757304951549</v>
      </c>
      <c r="J49" s="482">
        <v>-0.21689156536012888</v>
      </c>
      <c r="K49" s="482">
        <v>-0.21541669988073409</v>
      </c>
      <c r="L49" s="482">
        <v>-0.2173989387229085</v>
      </c>
      <c r="M49" s="482">
        <v>-0.22129416605457664</v>
      </c>
      <c r="N49" s="482">
        <v>-0.22319256491027772</v>
      </c>
      <c r="O49" s="482">
        <v>-0.22063768224325031</v>
      </c>
      <c r="P49" s="482">
        <v>-0.21570286224596202</v>
      </c>
      <c r="Q49" s="482">
        <v>-0.21724764502141625</v>
      </c>
      <c r="R49" s="482">
        <v>-0.21611696772743016</v>
      </c>
      <c r="S49" s="482">
        <v>-0.21330437320284545</v>
      </c>
      <c r="T49" s="482">
        <v>-0.21690394775941968</v>
      </c>
      <c r="U49" s="482">
        <v>-0.21417160448618233</v>
      </c>
      <c r="V49" s="482" t="e">
        <f t="shared" ref="V49:AF49" ca="1" si="32">V47-V48</f>
        <v>#NAME?</v>
      </c>
      <c r="W49" s="482" t="e">
        <f t="shared" ca="1" si="32"/>
        <v>#NAME?</v>
      </c>
      <c r="X49" s="482" t="e">
        <f t="shared" ca="1" si="32"/>
        <v>#NAME?</v>
      </c>
      <c r="Y49" s="482" t="e">
        <f t="shared" ca="1" si="32"/>
        <v>#NAME?</v>
      </c>
      <c r="Z49" s="482" t="e">
        <f t="shared" ca="1" si="32"/>
        <v>#NAME?</v>
      </c>
      <c r="AA49" s="482" t="e">
        <f t="shared" ca="1" si="32"/>
        <v>#NAME?</v>
      </c>
      <c r="AB49" s="482" t="e">
        <f t="shared" ca="1" si="32"/>
        <v>#NAME?</v>
      </c>
      <c r="AC49" s="482" t="e">
        <f t="shared" ca="1" si="32"/>
        <v>#NAME?</v>
      </c>
      <c r="AD49" s="482" t="e">
        <f t="shared" ca="1" si="32"/>
        <v>#NAME?</v>
      </c>
      <c r="AE49" s="482" t="e">
        <f t="shared" ca="1" si="32"/>
        <v>#NAME?</v>
      </c>
      <c r="AF49" s="482" t="e">
        <f t="shared" ca="1" si="32"/>
        <v>#NAME?</v>
      </c>
    </row>
    <row r="51" spans="1:38">
      <c r="A51" s="483" t="s">
        <v>292</v>
      </c>
      <c r="E51" s="535"/>
      <c r="F51" s="535"/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5"/>
      <c r="S51" s="535"/>
      <c r="T51" s="535"/>
      <c r="U51" s="535"/>
      <c r="V51" s="535"/>
      <c r="W51" s="535"/>
      <c r="X51" s="535"/>
      <c r="Y51" s="535"/>
      <c r="Z51" s="535"/>
      <c r="AA51" s="535"/>
      <c r="AB51" s="535"/>
      <c r="AC51" s="535"/>
      <c r="AD51" s="535"/>
      <c r="AE51" s="535"/>
      <c r="AF51" s="535"/>
    </row>
    <row r="52" spans="1:38">
      <c r="A52" s="484">
        <v>191025</v>
      </c>
      <c r="B52" s="485" t="s">
        <v>256</v>
      </c>
      <c r="C52" s="486" t="s">
        <v>251</v>
      </c>
      <c r="D52" s="486" t="s">
        <v>252</v>
      </c>
      <c r="E52" s="484">
        <v>201309</v>
      </c>
      <c r="F52" s="484">
        <f>E52+1</f>
        <v>201310</v>
      </c>
      <c r="G52" s="484">
        <f>F52+1</f>
        <v>201311</v>
      </c>
      <c r="H52" s="484">
        <f>G52+1</f>
        <v>201312</v>
      </c>
      <c r="I52" s="484">
        <v>201401</v>
      </c>
      <c r="J52" s="484">
        <v>201402</v>
      </c>
      <c r="K52" s="484">
        <v>201403</v>
      </c>
      <c r="L52" s="484">
        <v>201404</v>
      </c>
      <c r="M52" s="484">
        <v>201405</v>
      </c>
      <c r="N52" s="484">
        <v>201406</v>
      </c>
      <c r="O52" s="484">
        <v>201407</v>
      </c>
      <c r="P52" s="484">
        <v>201408</v>
      </c>
      <c r="Q52" s="484">
        <v>201409</v>
      </c>
      <c r="R52" s="484">
        <v>201410</v>
      </c>
      <c r="S52" s="484">
        <v>201411</v>
      </c>
      <c r="T52" s="484">
        <v>201412</v>
      </c>
      <c r="U52" s="484">
        <v>201501</v>
      </c>
      <c r="V52" s="484">
        <f t="shared" ref="V52:AD52" si="33">U52+1</f>
        <v>201502</v>
      </c>
      <c r="W52" s="484">
        <f t="shared" si="33"/>
        <v>201503</v>
      </c>
      <c r="X52" s="484">
        <f t="shared" si="33"/>
        <v>201504</v>
      </c>
      <c r="Y52" s="484">
        <f t="shared" si="33"/>
        <v>201505</v>
      </c>
      <c r="Z52" s="484">
        <f t="shared" si="33"/>
        <v>201506</v>
      </c>
      <c r="AA52" s="484">
        <f t="shared" si="33"/>
        <v>201507</v>
      </c>
      <c r="AB52" s="484">
        <f t="shared" si="33"/>
        <v>201508</v>
      </c>
      <c r="AC52" s="484">
        <f t="shared" si="33"/>
        <v>201509</v>
      </c>
      <c r="AD52" s="484">
        <f t="shared" si="33"/>
        <v>201510</v>
      </c>
      <c r="AE52" s="484">
        <f>AD52+1</f>
        <v>201511</v>
      </c>
      <c r="AF52" s="484">
        <f t="shared" ref="AF52" si="34">AE52+1</f>
        <v>201512</v>
      </c>
      <c r="AL52" s="563"/>
    </row>
    <row r="53" spans="1:38">
      <c r="A53" s="483"/>
      <c r="B53" s="481" t="s">
        <v>37</v>
      </c>
      <c r="C53" s="491">
        <f>SUM(U53:AF53)</f>
        <v>83964548</v>
      </c>
      <c r="D53" s="491">
        <f t="shared" ref="D53:D62" si="35">SUM(G53:R53)</f>
        <v>118507804</v>
      </c>
      <c r="E53" s="491">
        <v>2647538</v>
      </c>
      <c r="F53" s="491">
        <v>9244353</v>
      </c>
      <c r="G53" s="491">
        <v>15070678</v>
      </c>
      <c r="H53" s="491">
        <v>22636008</v>
      </c>
      <c r="I53" s="543">
        <v>20682450</v>
      </c>
      <c r="J53" s="543">
        <v>20184373</v>
      </c>
      <c r="K53" s="543">
        <v>14096743</v>
      </c>
      <c r="L53" s="543">
        <v>7776328</v>
      </c>
      <c r="M53" s="543">
        <v>3691303</v>
      </c>
      <c r="N53" s="543">
        <v>2545780</v>
      </c>
      <c r="O53" s="543">
        <v>2095088</v>
      </c>
      <c r="P53" s="543">
        <v>2047777</v>
      </c>
      <c r="Q53" s="543">
        <v>2727612</v>
      </c>
      <c r="R53" s="543">
        <v>4953664</v>
      </c>
      <c r="S53" s="543">
        <v>15823016</v>
      </c>
      <c r="T53" s="543">
        <v>19056609</v>
      </c>
      <c r="U53" s="543">
        <v>19909674</v>
      </c>
      <c r="V53" s="543">
        <f>Feb!$G23</f>
        <v>13011547</v>
      </c>
      <c r="W53" s="543">
        <f>Mar!$G23</f>
        <v>10479005</v>
      </c>
      <c r="X53" s="543">
        <f>Apr!$G23</f>
        <v>7714478</v>
      </c>
      <c r="Y53" s="543">
        <f>May!$G23</f>
        <v>3297360</v>
      </c>
      <c r="Z53" s="543">
        <f>Jun!$G23</f>
        <v>1968489</v>
      </c>
      <c r="AA53" s="543">
        <f>Jul!$G23</f>
        <v>2145139</v>
      </c>
      <c r="AB53" s="543">
        <f>Aug!$G23</f>
        <v>1956853</v>
      </c>
      <c r="AC53" s="543">
        <f>Sep!$G23</f>
        <v>3273457</v>
      </c>
      <c r="AD53" s="543">
        <f>Oct!$G23</f>
        <v>4833518</v>
      </c>
      <c r="AE53" s="543">
        <f>Nov!$G23</f>
        <v>15375028</v>
      </c>
      <c r="AF53" s="543">
        <f>Dec!$G23</f>
        <v>0</v>
      </c>
    </row>
    <row r="54" spans="1:38">
      <c r="A54" s="483"/>
      <c r="B54" s="481" t="s">
        <v>38</v>
      </c>
      <c r="C54" s="491">
        <f t="shared" ref="C54:C61" si="36">SUM(U54:AF54)</f>
        <v>35336899</v>
      </c>
      <c r="D54" s="491">
        <f t="shared" si="35"/>
        <v>47081391</v>
      </c>
      <c r="E54" s="491">
        <v>1599551</v>
      </c>
      <c r="F54" s="491">
        <v>3880001</v>
      </c>
      <c r="G54" s="491">
        <v>5651303</v>
      </c>
      <c r="H54" s="491">
        <v>7518125</v>
      </c>
      <c r="I54" s="543">
        <v>7025543</v>
      </c>
      <c r="J54" s="543">
        <v>6903553</v>
      </c>
      <c r="K54" s="543">
        <v>5310734</v>
      </c>
      <c r="L54" s="543">
        <v>3390429</v>
      </c>
      <c r="M54" s="543">
        <v>2183609</v>
      </c>
      <c r="N54" s="543">
        <v>1741655</v>
      </c>
      <c r="O54" s="543">
        <v>1476567</v>
      </c>
      <c r="P54" s="543">
        <v>1364087</v>
      </c>
      <c r="Q54" s="543">
        <v>1739755</v>
      </c>
      <c r="R54" s="543">
        <v>2776031</v>
      </c>
      <c r="S54" s="543">
        <v>6141604</v>
      </c>
      <c r="T54" s="543">
        <v>6045485</v>
      </c>
      <c r="U54" s="543">
        <v>6173752</v>
      </c>
      <c r="V54" s="543">
        <f>Feb!$G24</f>
        <v>5630395</v>
      </c>
      <c r="W54" s="543">
        <f>Mar!$G24</f>
        <v>4030672</v>
      </c>
      <c r="X54" s="543">
        <f>Apr!$G24</f>
        <v>3448422</v>
      </c>
      <c r="Y54" s="543">
        <f>May!$G24</f>
        <v>1901440</v>
      </c>
      <c r="Z54" s="543">
        <f>Jun!$G24</f>
        <v>1561904</v>
      </c>
      <c r="AA54" s="543">
        <f>Jul!$G24</f>
        <v>1323231</v>
      </c>
      <c r="AB54" s="543">
        <f>Aug!$G24</f>
        <v>1284422</v>
      </c>
      <c r="AC54" s="543">
        <f>Sep!$G24</f>
        <v>1854848</v>
      </c>
      <c r="AD54" s="543">
        <f>Oct!$G25</f>
        <v>2624293</v>
      </c>
      <c r="AE54" s="543">
        <f>Nov!$G25</f>
        <v>5503520</v>
      </c>
      <c r="AF54" s="543">
        <f>Dec!$G24</f>
        <v>0</v>
      </c>
    </row>
    <row r="55" spans="1:38">
      <c r="A55" s="483"/>
      <c r="B55" s="481" t="s">
        <v>39</v>
      </c>
      <c r="C55" s="491">
        <f t="shared" si="36"/>
        <v>0</v>
      </c>
      <c r="D55" s="491">
        <f t="shared" si="35"/>
        <v>0</v>
      </c>
      <c r="E55" s="491">
        <v>0</v>
      </c>
      <c r="F55" s="491">
        <v>0</v>
      </c>
      <c r="G55" s="491">
        <v>0</v>
      </c>
      <c r="H55" s="491">
        <v>0</v>
      </c>
      <c r="I55" s="543">
        <v>0</v>
      </c>
      <c r="J55" s="543">
        <v>0</v>
      </c>
      <c r="K55" s="543">
        <v>0</v>
      </c>
      <c r="L55" s="543">
        <v>0</v>
      </c>
      <c r="M55" s="543">
        <v>0</v>
      </c>
      <c r="N55" s="543">
        <v>0</v>
      </c>
      <c r="O55" s="543">
        <v>0</v>
      </c>
      <c r="P55" s="543">
        <v>0</v>
      </c>
      <c r="Q55" s="543">
        <v>0</v>
      </c>
      <c r="R55" s="543">
        <v>0</v>
      </c>
      <c r="S55" s="543">
        <v>0</v>
      </c>
      <c r="T55" s="543">
        <v>0</v>
      </c>
      <c r="U55" s="543">
        <v>0</v>
      </c>
      <c r="V55" s="543">
        <f>Feb!$G25</f>
        <v>0</v>
      </c>
      <c r="W55" s="543">
        <f>Mar!$G25</f>
        <v>0</v>
      </c>
      <c r="X55" s="543">
        <f>Apr!$G25</f>
        <v>0</v>
      </c>
      <c r="Y55" s="543">
        <f>May!$G25</f>
        <v>0</v>
      </c>
      <c r="Z55" s="543">
        <f>Jun!$G25</f>
        <v>0</v>
      </c>
      <c r="AA55" s="543">
        <f>Jul!$G25</f>
        <v>0</v>
      </c>
      <c r="AB55" s="543">
        <f>Aug!$G25</f>
        <v>0</v>
      </c>
      <c r="AC55" s="543">
        <f>Sep!$G25</f>
        <v>0</v>
      </c>
      <c r="AD55" s="543">
        <f>Oct!$G26</f>
        <v>0</v>
      </c>
      <c r="AE55" s="543">
        <f>Nov!$G26</f>
        <v>0</v>
      </c>
      <c r="AF55" s="543">
        <f>Dec!$G25</f>
        <v>0</v>
      </c>
    </row>
    <row r="56" spans="1:38">
      <c r="A56" s="483"/>
      <c r="B56" s="481" t="s">
        <v>40</v>
      </c>
      <c r="C56" s="491">
        <f t="shared" si="36"/>
        <v>4051936</v>
      </c>
      <c r="D56" s="491">
        <f t="shared" si="35"/>
        <v>4993299</v>
      </c>
      <c r="E56" s="491">
        <v>344046</v>
      </c>
      <c r="F56" s="491">
        <v>595792</v>
      </c>
      <c r="G56" s="491">
        <v>396185</v>
      </c>
      <c r="H56" s="491">
        <v>588721</v>
      </c>
      <c r="I56" s="543">
        <v>534459</v>
      </c>
      <c r="J56" s="543">
        <v>540817</v>
      </c>
      <c r="K56" s="543">
        <v>425342</v>
      </c>
      <c r="L56" s="543">
        <v>407197</v>
      </c>
      <c r="M56" s="543">
        <v>340947</v>
      </c>
      <c r="N56" s="543">
        <v>361843</v>
      </c>
      <c r="O56" s="543">
        <v>251184</v>
      </c>
      <c r="P56" s="543">
        <v>332621</v>
      </c>
      <c r="Q56" s="543">
        <v>330926</v>
      </c>
      <c r="R56" s="543">
        <v>483057</v>
      </c>
      <c r="S56" s="543">
        <v>518418</v>
      </c>
      <c r="T56" s="543">
        <v>377457</v>
      </c>
      <c r="U56" s="543">
        <v>513680</v>
      </c>
      <c r="V56" s="543">
        <f>Feb!$G26</f>
        <v>431734</v>
      </c>
      <c r="W56" s="543">
        <f>Mar!$G26</f>
        <v>335852</v>
      </c>
      <c r="X56" s="543">
        <f>Apr!$G26</f>
        <v>432834</v>
      </c>
      <c r="Y56" s="543">
        <f>May!$G26</f>
        <v>249954</v>
      </c>
      <c r="Z56" s="543">
        <f>Jun!$G26</f>
        <v>322862</v>
      </c>
      <c r="AA56" s="543">
        <f>Jul!$G26</f>
        <v>247078</v>
      </c>
      <c r="AB56" s="543">
        <f>Aug!$G26</f>
        <v>274690</v>
      </c>
      <c r="AC56" s="543">
        <f>Sep!$G26</f>
        <v>336073</v>
      </c>
      <c r="AD56" s="543">
        <f>Oct!$G27</f>
        <v>365802</v>
      </c>
      <c r="AE56" s="543">
        <f>Nov!$G27</f>
        <v>541377</v>
      </c>
      <c r="AF56" s="543">
        <f>Dec!$G26</f>
        <v>0</v>
      </c>
    </row>
    <row r="57" spans="1:38">
      <c r="A57" s="483"/>
      <c r="B57" s="481" t="s">
        <v>41</v>
      </c>
      <c r="C57" s="491">
        <f t="shared" si="36"/>
        <v>504443</v>
      </c>
      <c r="D57" s="491">
        <f t="shared" si="35"/>
        <v>658607</v>
      </c>
      <c r="E57" s="491">
        <v>31388</v>
      </c>
      <c r="F57" s="491">
        <v>40500</v>
      </c>
      <c r="G57" s="491">
        <v>51667</v>
      </c>
      <c r="H57" s="491">
        <v>84319</v>
      </c>
      <c r="I57" s="543">
        <v>95515</v>
      </c>
      <c r="J57" s="543">
        <v>89875</v>
      </c>
      <c r="K57" s="543">
        <v>79687</v>
      </c>
      <c r="L57" s="543">
        <v>48237</v>
      </c>
      <c r="M57" s="543">
        <v>57496</v>
      </c>
      <c r="N57" s="543">
        <v>29984</v>
      </c>
      <c r="O57" s="543">
        <v>36453</v>
      </c>
      <c r="P57" s="543">
        <v>23994</v>
      </c>
      <c r="Q57" s="543">
        <v>27780</v>
      </c>
      <c r="R57" s="543">
        <v>33600</v>
      </c>
      <c r="S57" s="543">
        <v>46503</v>
      </c>
      <c r="T57" s="543">
        <v>74423</v>
      </c>
      <c r="U57" s="543">
        <v>81674</v>
      </c>
      <c r="V57" s="543">
        <f>Feb!$G27</f>
        <v>68846</v>
      </c>
      <c r="W57" s="543">
        <f>Mar!$G27</f>
        <v>57610</v>
      </c>
      <c r="X57" s="543">
        <f>Apr!$G27</f>
        <v>49631</v>
      </c>
      <c r="Y57" s="543">
        <f>May!$G27</f>
        <v>46984</v>
      </c>
      <c r="Z57" s="543">
        <f>Jun!$G27</f>
        <v>30135</v>
      </c>
      <c r="AA57" s="543">
        <f>Jul!$G27</f>
        <v>28317</v>
      </c>
      <c r="AB57" s="543">
        <f>Aug!$G27</f>
        <v>27313</v>
      </c>
      <c r="AC57" s="543">
        <f>Sep!$G27</f>
        <v>29790</v>
      </c>
      <c r="AD57" s="543">
        <f>Oct!$G28</f>
        <v>36487</v>
      </c>
      <c r="AE57" s="543">
        <f>Nov!$G28</f>
        <v>47656</v>
      </c>
      <c r="AF57" s="543">
        <f>Dec!$G27</f>
        <v>0</v>
      </c>
    </row>
    <row r="58" spans="1:38">
      <c r="A58" s="483"/>
      <c r="B58" s="481" t="s">
        <v>42</v>
      </c>
      <c r="C58" s="491">
        <f t="shared" si="36"/>
        <v>0</v>
      </c>
      <c r="D58" s="491">
        <f t="shared" si="35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f>Feb!$G28</f>
        <v>0</v>
      </c>
      <c r="W58" s="543">
        <f>Mar!$G28</f>
        <v>0</v>
      </c>
      <c r="X58" s="543">
        <f>Apr!$G28</f>
        <v>0</v>
      </c>
      <c r="Y58" s="543">
        <f>May!$G28</f>
        <v>0</v>
      </c>
      <c r="Z58" s="543">
        <f>Jun!$G28</f>
        <v>0</v>
      </c>
      <c r="AA58" s="543">
        <f>Jul!$G28</f>
        <v>0</v>
      </c>
      <c r="AB58" s="543">
        <f>Aug!$G28</f>
        <v>0</v>
      </c>
      <c r="AC58" s="543">
        <f>Sep!$G28</f>
        <v>0</v>
      </c>
      <c r="AD58" s="543">
        <f>Oct!$G29</f>
        <v>0</v>
      </c>
      <c r="AE58" s="543">
        <f>Nov!$G29</f>
        <v>0</v>
      </c>
      <c r="AF58" s="543">
        <f>Dec!$G28</f>
        <v>0</v>
      </c>
    </row>
    <row r="59" spans="1:38">
      <c r="A59" s="483"/>
      <c r="B59" s="481" t="s">
        <v>43</v>
      </c>
      <c r="C59" s="491">
        <f t="shared" si="36"/>
        <v>871865</v>
      </c>
      <c r="D59" s="491">
        <f t="shared" si="35"/>
        <v>1097701</v>
      </c>
      <c r="E59" s="491">
        <v>54453</v>
      </c>
      <c r="F59" s="491">
        <v>68629</v>
      </c>
      <c r="G59" s="491">
        <v>142001</v>
      </c>
      <c r="H59" s="491">
        <v>132732</v>
      </c>
      <c r="I59" s="543">
        <v>149468</v>
      </c>
      <c r="J59" s="543">
        <v>140495</v>
      </c>
      <c r="K59" s="543">
        <v>132979</v>
      </c>
      <c r="L59" s="543">
        <v>91026</v>
      </c>
      <c r="M59" s="543">
        <v>83802</v>
      </c>
      <c r="N59" s="543">
        <v>58384</v>
      </c>
      <c r="O59" s="543">
        <v>45870</v>
      </c>
      <c r="P59" s="543">
        <v>32437</v>
      </c>
      <c r="Q59" s="543">
        <v>37881</v>
      </c>
      <c r="R59" s="543">
        <v>50626</v>
      </c>
      <c r="S59" s="543">
        <v>67642</v>
      </c>
      <c r="T59" s="543">
        <v>112489</v>
      </c>
      <c r="U59" s="543">
        <v>129251</v>
      </c>
      <c r="V59" s="543">
        <f>Feb!$G29</f>
        <v>123377</v>
      </c>
      <c r="W59" s="543">
        <f>Mar!$G29</f>
        <v>100117</v>
      </c>
      <c r="X59" s="543">
        <f>Apr!$G29</f>
        <v>81076</v>
      </c>
      <c r="Y59" s="543">
        <f>May!$G29</f>
        <v>83536</v>
      </c>
      <c r="Z59" s="543">
        <f>Jun!$G29</f>
        <v>56511</v>
      </c>
      <c r="AA59" s="543">
        <f>Jul!$G29</f>
        <v>13364</v>
      </c>
      <c r="AB59" s="543">
        <f>Aug!$G29</f>
        <v>68158</v>
      </c>
      <c r="AC59" s="543">
        <f>Sep!$G29</f>
        <v>45470</v>
      </c>
      <c r="AD59" s="543">
        <f>Oct!$G30</f>
        <v>96224</v>
      </c>
      <c r="AE59" s="543">
        <f>Nov!$G30</f>
        <v>74781</v>
      </c>
      <c r="AF59" s="543">
        <f>Dec!$G29</f>
        <v>0</v>
      </c>
    </row>
    <row r="60" spans="1:38">
      <c r="A60" s="483"/>
      <c r="B60" s="481" t="s">
        <v>74</v>
      </c>
      <c r="C60" s="491">
        <f t="shared" si="36"/>
        <v>26235211</v>
      </c>
      <c r="D60" s="491">
        <f t="shared" si="35"/>
        <v>30501971</v>
      </c>
      <c r="E60" s="491">
        <v>1818699</v>
      </c>
      <c r="F60" s="491">
        <v>2531895</v>
      </c>
      <c r="G60" s="491">
        <v>2936207</v>
      </c>
      <c r="H60" s="491">
        <v>3675604</v>
      </c>
      <c r="I60" s="543">
        <v>3517013</v>
      </c>
      <c r="J60" s="543">
        <v>3103551</v>
      </c>
      <c r="K60" s="543">
        <v>2882510</v>
      </c>
      <c r="L60" s="543">
        <v>2426511</v>
      </c>
      <c r="M60" s="543">
        <v>2096539</v>
      </c>
      <c r="N60" s="543">
        <v>1865473</v>
      </c>
      <c r="O60" s="543">
        <v>1934510</v>
      </c>
      <c r="P60" s="543">
        <v>1781233</v>
      </c>
      <c r="Q60" s="543">
        <v>1975142</v>
      </c>
      <c r="R60" s="543">
        <v>2307678</v>
      </c>
      <c r="S60" s="543">
        <v>3052956</v>
      </c>
      <c r="T60" s="543">
        <v>3180451</v>
      </c>
      <c r="U60" s="543">
        <v>3286166</v>
      </c>
      <c r="V60" s="543">
        <f>Feb!$G30</f>
        <v>2735718</v>
      </c>
      <c r="W60" s="543">
        <f>Mar!$G30</f>
        <v>2608561</v>
      </c>
      <c r="X60" s="543">
        <f>Apr!$G30</f>
        <v>2436951</v>
      </c>
      <c r="Y60" s="543">
        <f>May!$G30</f>
        <v>2203136</v>
      </c>
      <c r="Z60" s="543">
        <f>Jun!$G30</f>
        <v>1941783</v>
      </c>
      <c r="AA60" s="543">
        <f>Jul!$G30</f>
        <v>1912819</v>
      </c>
      <c r="AB60" s="543">
        <f>Aug!$G30</f>
        <v>1943542</v>
      </c>
      <c r="AC60" s="543">
        <f>Sep!$G30</f>
        <v>1945064</v>
      </c>
      <c r="AD60" s="543">
        <f>Oct!$G31</f>
        <v>2201297</v>
      </c>
      <c r="AE60" s="543">
        <f>Nov!$G31</f>
        <v>3020174</v>
      </c>
      <c r="AF60" s="543">
        <f>Dec!$G30</f>
        <v>0</v>
      </c>
    </row>
    <row r="61" spans="1:38" ht="16" thickBot="1">
      <c r="A61" s="483"/>
      <c r="B61" s="481" t="s">
        <v>21</v>
      </c>
      <c r="C61" s="542">
        <f t="shared" si="36"/>
        <v>150964902</v>
      </c>
      <c r="D61" s="542">
        <f t="shared" si="35"/>
        <v>202840773</v>
      </c>
      <c r="E61" s="542">
        <f>SUM(E53:E60)</f>
        <v>6495675</v>
      </c>
      <c r="F61" s="542">
        <f>SUM(F53:F60)</f>
        <v>16361170</v>
      </c>
      <c r="G61" s="542">
        <f t="shared" ref="G61:H61" si="37">SUM(G53:G60)</f>
        <v>24248041</v>
      </c>
      <c r="H61" s="542">
        <f t="shared" si="37"/>
        <v>34635509</v>
      </c>
      <c r="I61" s="542">
        <v>32004448</v>
      </c>
      <c r="J61" s="542">
        <v>30962664</v>
      </c>
      <c r="K61" s="542">
        <v>22927995</v>
      </c>
      <c r="L61" s="542">
        <v>14139728</v>
      </c>
      <c r="M61" s="542">
        <v>8453696</v>
      </c>
      <c r="N61" s="542">
        <v>6603119</v>
      </c>
      <c r="O61" s="542">
        <v>5839672</v>
      </c>
      <c r="P61" s="542">
        <v>5582149</v>
      </c>
      <c r="Q61" s="542">
        <v>6839096</v>
      </c>
      <c r="R61" s="542">
        <v>10604656</v>
      </c>
      <c r="S61" s="542">
        <v>25650139</v>
      </c>
      <c r="T61" s="542">
        <v>28846914</v>
      </c>
      <c r="U61" s="542">
        <v>30094197</v>
      </c>
      <c r="V61" s="542">
        <f t="shared" ref="V61:AF61" si="38">SUM(V53:V60)</f>
        <v>22001617</v>
      </c>
      <c r="W61" s="542">
        <f t="shared" si="38"/>
        <v>17611817</v>
      </c>
      <c r="X61" s="542">
        <f t="shared" si="38"/>
        <v>14163392</v>
      </c>
      <c r="Y61" s="542">
        <f t="shared" si="38"/>
        <v>7782410</v>
      </c>
      <c r="Z61" s="542">
        <f t="shared" si="38"/>
        <v>5881684</v>
      </c>
      <c r="AA61" s="542">
        <f t="shared" si="38"/>
        <v>5669948</v>
      </c>
      <c r="AB61" s="542">
        <f t="shared" si="38"/>
        <v>5554978</v>
      </c>
      <c r="AC61" s="542">
        <f t="shared" si="38"/>
        <v>7484702</v>
      </c>
      <c r="AD61" s="542">
        <f t="shared" si="38"/>
        <v>10157621</v>
      </c>
      <c r="AE61" s="542">
        <f t="shared" si="38"/>
        <v>24562536</v>
      </c>
      <c r="AF61" s="542">
        <f t="shared" si="38"/>
        <v>0</v>
      </c>
    </row>
    <row r="62" spans="1:38" ht="16" thickTop="1">
      <c r="A62" s="483"/>
      <c r="B62" s="481" t="s">
        <v>269</v>
      </c>
      <c r="C62" s="491">
        <f>SUM(U62:AF62)</f>
        <v>103205065</v>
      </c>
      <c r="D62" s="491">
        <f t="shared" si="35"/>
        <v>202840773</v>
      </c>
      <c r="E62" s="491">
        <v>6495675</v>
      </c>
      <c r="F62" s="491">
        <v>16361170</v>
      </c>
      <c r="G62" s="491">
        <v>24248041</v>
      </c>
      <c r="H62" s="491">
        <v>34635509</v>
      </c>
      <c r="I62" s="491">
        <v>32004448</v>
      </c>
      <c r="J62" s="491">
        <v>30962664</v>
      </c>
      <c r="K62" s="491">
        <v>22927995</v>
      </c>
      <c r="L62" s="491">
        <v>14139728</v>
      </c>
      <c r="M62" s="491">
        <v>8453696</v>
      </c>
      <c r="N62" s="491">
        <v>6603119</v>
      </c>
      <c r="O62" s="491">
        <v>5839672</v>
      </c>
      <c r="P62" s="491">
        <v>5582149</v>
      </c>
      <c r="Q62" s="491">
        <v>6839096</v>
      </c>
      <c r="R62" s="491">
        <v>10604656</v>
      </c>
      <c r="S62" s="491">
        <v>25650139</v>
      </c>
      <c r="T62" s="491">
        <v>28846914</v>
      </c>
      <c r="U62" s="491">
        <v>30094197</v>
      </c>
      <c r="V62" s="491">
        <v>22001617</v>
      </c>
      <c r="W62" s="491">
        <f>Mar!G32</f>
        <v>17611817</v>
      </c>
      <c r="X62" s="491">
        <v>14163392</v>
      </c>
      <c r="Y62" s="491">
        <v>7782410</v>
      </c>
      <c r="Z62" s="491">
        <v>5881684</v>
      </c>
      <c r="AA62" s="491">
        <v>5669948</v>
      </c>
      <c r="AB62" s="491"/>
      <c r="AC62" s="491"/>
      <c r="AD62" s="491"/>
      <c r="AE62" s="491"/>
      <c r="AF62" s="491"/>
      <c r="AG62" s="491"/>
    </row>
    <row r="63" spans="1:38">
      <c r="A63" s="483" t="s">
        <v>22</v>
      </c>
      <c r="E63" s="535"/>
      <c r="F63" s="535"/>
      <c r="G63" s="535"/>
      <c r="H63" s="535"/>
      <c r="I63" s="535"/>
      <c r="J63" s="535"/>
      <c r="K63" s="535"/>
      <c r="L63" s="535"/>
      <c r="M63" s="535"/>
      <c r="N63" s="535"/>
      <c r="O63" s="535"/>
      <c r="P63" s="535"/>
      <c r="Q63" s="535"/>
      <c r="R63" s="535"/>
      <c r="S63" s="535"/>
      <c r="T63" s="535"/>
      <c r="U63" s="535"/>
      <c r="V63" s="535"/>
      <c r="W63" s="535"/>
      <c r="X63" s="535"/>
      <c r="Y63" s="535"/>
      <c r="Z63" s="535"/>
      <c r="AA63" s="535"/>
      <c r="AB63" s="535"/>
      <c r="AC63" s="535"/>
      <c r="AD63" s="535"/>
      <c r="AE63" s="535"/>
      <c r="AF63" s="535"/>
      <c r="AI63" s="539"/>
    </row>
    <row r="64" spans="1:38">
      <c r="A64" s="484">
        <v>191025</v>
      </c>
      <c r="B64" s="485" t="s">
        <v>256</v>
      </c>
      <c r="E64" s="484">
        <v>201309</v>
      </c>
      <c r="F64" s="484">
        <f>E64+1</f>
        <v>201310</v>
      </c>
      <c r="G64" s="484">
        <f>F64+1</f>
        <v>201311</v>
      </c>
      <c r="H64" s="484">
        <f>G64+1</f>
        <v>201312</v>
      </c>
      <c r="I64" s="484">
        <v>201401</v>
      </c>
      <c r="J64" s="484">
        <v>201402</v>
      </c>
      <c r="K64" s="484">
        <v>201403</v>
      </c>
      <c r="L64" s="484">
        <v>201404</v>
      </c>
      <c r="M64" s="484">
        <v>201405</v>
      </c>
      <c r="N64" s="484">
        <v>201406</v>
      </c>
      <c r="O64" s="484">
        <v>201407</v>
      </c>
      <c r="P64" s="484">
        <v>201408</v>
      </c>
      <c r="Q64" s="484">
        <v>201409</v>
      </c>
      <c r="R64" s="484">
        <v>201410</v>
      </c>
      <c r="S64" s="484">
        <v>201411</v>
      </c>
      <c r="T64" s="484">
        <v>201412</v>
      </c>
      <c r="U64" s="484">
        <v>201501</v>
      </c>
      <c r="V64" s="484">
        <f t="shared" ref="V64:AD64" si="39">U64+1</f>
        <v>201502</v>
      </c>
      <c r="W64" s="484">
        <f t="shared" si="39"/>
        <v>201503</v>
      </c>
      <c r="X64" s="484">
        <f t="shared" si="39"/>
        <v>201504</v>
      </c>
      <c r="Y64" s="484">
        <f t="shared" si="39"/>
        <v>201505</v>
      </c>
      <c r="Z64" s="484">
        <f t="shared" si="39"/>
        <v>201506</v>
      </c>
      <c r="AA64" s="484">
        <f t="shared" si="39"/>
        <v>201507</v>
      </c>
      <c r="AB64" s="484">
        <f t="shared" si="39"/>
        <v>201508</v>
      </c>
      <c r="AC64" s="484">
        <f t="shared" si="39"/>
        <v>201509</v>
      </c>
      <c r="AD64" s="484">
        <f t="shared" si="39"/>
        <v>201510</v>
      </c>
      <c r="AE64" s="484">
        <f>AD64+1</f>
        <v>201511</v>
      </c>
      <c r="AF64" s="484">
        <f t="shared" ref="AF64" si="40">AE64+1</f>
        <v>201512</v>
      </c>
    </row>
    <row r="65" spans="1:39">
      <c r="A65" s="483"/>
      <c r="B65" s="481" t="s">
        <v>37</v>
      </c>
      <c r="E65" s="492">
        <v>-2.1900000000000001E-3</v>
      </c>
      <c r="F65" s="492">
        <v>-2.1900000000000001E-3</v>
      </c>
      <c r="G65" s="496" t="s">
        <v>270</v>
      </c>
      <c r="H65" s="496" t="s">
        <v>270</v>
      </c>
      <c r="I65" s="492">
        <v>-3.8999999999999999E-4</v>
      </c>
      <c r="J65" s="492">
        <v>-3.8999999999999999E-4</v>
      </c>
      <c r="K65" s="492">
        <v>-3.8999999999999999E-4</v>
      </c>
      <c r="L65" s="492">
        <v>-3.8999999999999999E-4</v>
      </c>
      <c r="M65" s="492">
        <v>-3.8999999999999999E-4</v>
      </c>
      <c r="N65" s="492">
        <v>-3.8999999999999999E-4</v>
      </c>
      <c r="O65" s="492">
        <v>-3.8999999999999999E-4</v>
      </c>
      <c r="P65" s="492">
        <v>-3.8999999999999999E-4</v>
      </c>
      <c r="Q65" s="492">
        <v>-3.8999999999999999E-4</v>
      </c>
      <c r="R65" s="492">
        <v>-3.8999999999999999E-4</v>
      </c>
      <c r="S65" s="496" t="s">
        <v>270</v>
      </c>
      <c r="T65" s="496" t="s">
        <v>270</v>
      </c>
      <c r="U65" s="492">
        <v>2.5000000000000001E-4</v>
      </c>
      <c r="V65" s="492">
        <v>2.5000000000000001E-4</v>
      </c>
      <c r="W65" s="492">
        <v>2.5000000000000001E-4</v>
      </c>
      <c r="X65" s="492">
        <v>2.5000000000000001E-4</v>
      </c>
      <c r="Y65" s="492">
        <v>2.5000000000000001E-4</v>
      </c>
      <c r="Z65" s="492">
        <v>2.5000000000000001E-4</v>
      </c>
      <c r="AA65" s="492">
        <v>2.5000000000000001E-4</v>
      </c>
      <c r="AB65" s="492">
        <v>2.5000000000000001E-4</v>
      </c>
      <c r="AC65" s="492">
        <v>2.5000000000000001E-4</v>
      </c>
      <c r="AD65" s="492">
        <v>2.5000000000000001E-4</v>
      </c>
      <c r="AE65" s="496" t="s">
        <v>270</v>
      </c>
      <c r="AF65" s="496" t="s">
        <v>270</v>
      </c>
    </row>
    <row r="66" spans="1:39">
      <c r="A66" s="483"/>
      <c r="B66" s="481" t="s">
        <v>38</v>
      </c>
      <c r="E66" s="492">
        <v>-2.1900000000000001E-3</v>
      </c>
      <c r="F66" s="492">
        <v>-2.1900000000000001E-3</v>
      </c>
      <c r="G66" s="496" t="s">
        <v>270</v>
      </c>
      <c r="H66" s="496" t="s">
        <v>270</v>
      </c>
      <c r="I66" s="492">
        <v>-3.8999999999999999E-4</v>
      </c>
      <c r="J66" s="492">
        <v>-3.8999999999999999E-4</v>
      </c>
      <c r="K66" s="492">
        <v>-3.8999999999999999E-4</v>
      </c>
      <c r="L66" s="492">
        <v>-3.8999999999999999E-4</v>
      </c>
      <c r="M66" s="492">
        <v>-3.8999999999999999E-4</v>
      </c>
      <c r="N66" s="492">
        <v>-3.8999999999999999E-4</v>
      </c>
      <c r="O66" s="492">
        <v>-3.8999999999999999E-4</v>
      </c>
      <c r="P66" s="492">
        <v>-3.8999999999999999E-4</v>
      </c>
      <c r="Q66" s="492">
        <v>-3.8999999999999999E-4</v>
      </c>
      <c r="R66" s="492">
        <v>-3.8999999999999999E-4</v>
      </c>
      <c r="S66" s="496" t="s">
        <v>270</v>
      </c>
      <c r="T66" s="496" t="s">
        <v>270</v>
      </c>
      <c r="U66" s="492">
        <v>2.5000000000000001E-4</v>
      </c>
      <c r="V66" s="492">
        <v>2.5000000000000001E-4</v>
      </c>
      <c r="W66" s="492">
        <v>2.5000000000000001E-4</v>
      </c>
      <c r="X66" s="492">
        <v>2.5000000000000001E-4</v>
      </c>
      <c r="Y66" s="492">
        <v>2.5000000000000001E-4</v>
      </c>
      <c r="Z66" s="492">
        <v>2.5000000000000001E-4</v>
      </c>
      <c r="AA66" s="492">
        <v>2.5000000000000001E-4</v>
      </c>
      <c r="AB66" s="492">
        <v>2.5000000000000001E-4</v>
      </c>
      <c r="AC66" s="492">
        <v>2.5000000000000001E-4</v>
      </c>
      <c r="AD66" s="492">
        <v>2.5000000000000001E-4</v>
      </c>
      <c r="AE66" s="496" t="s">
        <v>270</v>
      </c>
      <c r="AF66" s="496" t="s">
        <v>270</v>
      </c>
    </row>
    <row r="67" spans="1:39">
      <c r="A67" s="483"/>
      <c r="B67" s="481" t="s">
        <v>39</v>
      </c>
      <c r="E67" s="492">
        <v>-2.1900000000000001E-3</v>
      </c>
      <c r="F67" s="492">
        <v>-2.1900000000000001E-3</v>
      </c>
      <c r="G67" s="496" t="s">
        <v>270</v>
      </c>
      <c r="H67" s="496" t="s">
        <v>270</v>
      </c>
      <c r="I67" s="492">
        <v>-3.8999999999999999E-4</v>
      </c>
      <c r="J67" s="492">
        <v>-3.8999999999999999E-4</v>
      </c>
      <c r="K67" s="492">
        <v>-3.8999999999999999E-4</v>
      </c>
      <c r="L67" s="492">
        <v>-3.8999999999999999E-4</v>
      </c>
      <c r="M67" s="492">
        <v>-3.8999999999999999E-4</v>
      </c>
      <c r="N67" s="492">
        <v>-3.8999999999999999E-4</v>
      </c>
      <c r="O67" s="492">
        <v>-3.8999999999999999E-4</v>
      </c>
      <c r="P67" s="492">
        <v>-3.8999999999999999E-4</v>
      </c>
      <c r="Q67" s="492">
        <v>-3.8999999999999999E-4</v>
      </c>
      <c r="R67" s="492">
        <v>-3.8999999999999999E-4</v>
      </c>
      <c r="S67" s="496" t="s">
        <v>270</v>
      </c>
      <c r="T67" s="496" t="s">
        <v>270</v>
      </c>
      <c r="U67" s="492">
        <v>2.5000000000000001E-4</v>
      </c>
      <c r="V67" s="492">
        <v>2.5000000000000001E-4</v>
      </c>
      <c r="W67" s="492">
        <v>2.5000000000000001E-4</v>
      </c>
      <c r="X67" s="492">
        <v>2.5000000000000001E-4</v>
      </c>
      <c r="Y67" s="492">
        <v>2.5000000000000001E-4</v>
      </c>
      <c r="Z67" s="492">
        <v>2.5000000000000001E-4</v>
      </c>
      <c r="AA67" s="492">
        <v>2.5000000000000001E-4</v>
      </c>
      <c r="AB67" s="492">
        <v>2.5000000000000001E-4</v>
      </c>
      <c r="AC67" s="492">
        <v>2.5000000000000001E-4</v>
      </c>
      <c r="AD67" s="492">
        <v>2.5000000000000001E-4</v>
      </c>
      <c r="AE67" s="496" t="s">
        <v>270</v>
      </c>
      <c r="AF67" s="496" t="s">
        <v>270</v>
      </c>
    </row>
    <row r="68" spans="1:39">
      <c r="A68" s="483"/>
      <c r="B68" s="481" t="s">
        <v>40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270</v>
      </c>
      <c r="AF68" s="496" t="s">
        <v>270</v>
      </c>
    </row>
    <row r="69" spans="1:39">
      <c r="A69" s="483"/>
      <c r="B69" s="481" t="s">
        <v>41</v>
      </c>
      <c r="E69" s="492">
        <v>-2.1900000000000001E-3</v>
      </c>
      <c r="F69" s="492">
        <v>-2.1900000000000001E-3</v>
      </c>
      <c r="G69" s="496" t="s">
        <v>270</v>
      </c>
      <c r="H69" s="496" t="s">
        <v>270</v>
      </c>
      <c r="I69" s="492">
        <v>-3.8999999999999999E-4</v>
      </c>
      <c r="J69" s="492">
        <v>-3.8999999999999999E-4</v>
      </c>
      <c r="K69" s="492">
        <v>-3.8999999999999999E-4</v>
      </c>
      <c r="L69" s="492">
        <v>-3.8999999999999999E-4</v>
      </c>
      <c r="M69" s="492">
        <v>-3.8999999999999999E-4</v>
      </c>
      <c r="N69" s="492">
        <v>-3.8999999999999999E-4</v>
      </c>
      <c r="O69" s="492">
        <v>-3.8999999999999999E-4</v>
      </c>
      <c r="P69" s="492">
        <v>-3.8999999999999999E-4</v>
      </c>
      <c r="Q69" s="492">
        <v>-3.8999999999999999E-4</v>
      </c>
      <c r="R69" s="492">
        <v>-3.8999999999999999E-4</v>
      </c>
      <c r="S69" s="496" t="s">
        <v>270</v>
      </c>
      <c r="T69" s="496" t="s">
        <v>270</v>
      </c>
      <c r="U69" s="492">
        <v>2.5000000000000001E-4</v>
      </c>
      <c r="V69" s="492">
        <v>2.5000000000000001E-4</v>
      </c>
      <c r="W69" s="492">
        <v>2.5000000000000001E-4</v>
      </c>
      <c r="X69" s="492">
        <v>2.5000000000000001E-4</v>
      </c>
      <c r="Y69" s="492">
        <v>2.5000000000000001E-4</v>
      </c>
      <c r="Z69" s="492">
        <v>2.5000000000000001E-4</v>
      </c>
      <c r="AA69" s="492">
        <v>2.5000000000000001E-4</v>
      </c>
      <c r="AB69" s="492">
        <v>2.5000000000000001E-4</v>
      </c>
      <c r="AC69" s="492">
        <v>2.5000000000000001E-4</v>
      </c>
      <c r="AD69" s="492">
        <v>2.5000000000000001E-4</v>
      </c>
      <c r="AE69" s="496" t="s">
        <v>270</v>
      </c>
      <c r="AF69" s="496" t="s">
        <v>270</v>
      </c>
    </row>
    <row r="70" spans="1:39" ht="16" thickBot="1">
      <c r="A70" s="483"/>
      <c r="B70" s="481" t="s">
        <v>42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270</v>
      </c>
      <c r="AF70" s="496" t="s">
        <v>270</v>
      </c>
    </row>
    <row r="71" spans="1:39" ht="16" thickBot="1">
      <c r="A71" s="483"/>
      <c r="B71" s="481" t="s">
        <v>43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270</v>
      </c>
      <c r="AF71" s="496" t="s">
        <v>270</v>
      </c>
      <c r="AH71" s="522">
        <f>AH4</f>
        <v>201507</v>
      </c>
      <c r="AI71" s="531"/>
      <c r="AJ71" s="523"/>
      <c r="AK71" s="523"/>
      <c r="AL71" s="523"/>
      <c r="AM71" s="524"/>
    </row>
    <row r="72" spans="1:39">
      <c r="A72" s="483"/>
      <c r="B72" s="481" t="s">
        <v>74</v>
      </c>
      <c r="E72" s="492">
        <v>-2.0000000000000001E-4</v>
      </c>
      <c r="F72" s="492">
        <v>-2.0000000000000001E-4</v>
      </c>
      <c r="G72" s="496" t="s">
        <v>270</v>
      </c>
      <c r="H72" s="496" t="s">
        <v>270</v>
      </c>
      <c r="I72" s="492">
        <v>-4.0000000000000003E-5</v>
      </c>
      <c r="J72" s="492">
        <v>-4.0000000000000003E-5</v>
      </c>
      <c r="K72" s="492">
        <v>-4.0000000000000003E-5</v>
      </c>
      <c r="L72" s="492">
        <v>-4.0000000000000003E-5</v>
      </c>
      <c r="M72" s="492">
        <v>-4.0000000000000003E-5</v>
      </c>
      <c r="N72" s="492">
        <v>-4.0000000000000003E-5</v>
      </c>
      <c r="O72" s="492">
        <v>-4.0000000000000003E-5</v>
      </c>
      <c r="P72" s="492">
        <v>-4.0000000000000003E-5</v>
      </c>
      <c r="Q72" s="492">
        <v>-4.0000000000000003E-5</v>
      </c>
      <c r="R72" s="492">
        <v>-4.0000000000000003E-5</v>
      </c>
      <c r="S72" s="496" t="s">
        <v>270</v>
      </c>
      <c r="T72" s="496" t="s">
        <v>270</v>
      </c>
      <c r="U72" s="492">
        <v>4.0000000000000003E-5</v>
      </c>
      <c r="V72" s="492">
        <v>4.0000000000000003E-5</v>
      </c>
      <c r="W72" s="492">
        <v>4.0000000000000003E-5</v>
      </c>
      <c r="X72" s="492">
        <v>4.0000000000000003E-5</v>
      </c>
      <c r="Y72" s="492">
        <v>4.0000000000000003E-5</v>
      </c>
      <c r="Z72" s="492">
        <v>4.0000000000000003E-5</v>
      </c>
      <c r="AA72" s="492">
        <v>4.0000000000000003E-5</v>
      </c>
      <c r="AB72" s="492">
        <v>4.0000000000000003E-5</v>
      </c>
      <c r="AC72" s="492">
        <v>4.0000000000000003E-5</v>
      </c>
      <c r="AD72" s="492">
        <v>4.0000000000000003E-5</v>
      </c>
      <c r="AE72" s="496" t="s">
        <v>270</v>
      </c>
      <c r="AF72" s="496" t="s">
        <v>270</v>
      </c>
      <c r="AH72" s="499" t="s">
        <v>302</v>
      </c>
      <c r="AI72" s="528">
        <v>191025</v>
      </c>
      <c r="AJ72" s="358" t="s">
        <v>288</v>
      </c>
      <c r="AK72" s="358" t="s">
        <v>289</v>
      </c>
      <c r="AL72" s="381">
        <f>IF((SUMIF(U74:AF74,AH71,U76:AF76))&gt;0,(SUMIF(U74:AF74,AH71,U76:AF76)),0)</f>
        <v>1015.7950099999999</v>
      </c>
      <c r="AM72" s="500">
        <f>IF((SUMIF(U74:AF74,AH71,U76:AF76))&lt;0,-(SUMIF(U74:AF74,AH71,U76:AF76)),0)</f>
        <v>0</v>
      </c>
    </row>
    <row r="73" spans="1:39">
      <c r="A73" s="483" t="s">
        <v>293</v>
      </c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92"/>
      <c r="Y73" s="492"/>
      <c r="Z73" s="492"/>
      <c r="AA73" s="492"/>
      <c r="AB73" s="492"/>
      <c r="AC73" s="492"/>
      <c r="AD73" s="492"/>
      <c r="AE73" s="492"/>
      <c r="AF73" s="492"/>
      <c r="AH73" s="499" t="s">
        <v>303</v>
      </c>
      <c r="AI73" s="528">
        <v>805110</v>
      </c>
      <c r="AJ73" s="358" t="s">
        <v>288</v>
      </c>
      <c r="AK73" s="358" t="s">
        <v>289</v>
      </c>
      <c r="AL73" s="381">
        <f>IF((SUMIF(U74:AF74,AH71,U76:AF76))&lt;0,-(SUMIF(U74:AF74,AH71,U76:AF76)),0)</f>
        <v>0</v>
      </c>
      <c r="AM73" s="500">
        <f>IF((SUMIF(U74:AF74,AH71,U76:AF76))&gt;0,(SUMIF(U74:AF74,AH71,U76:AF76)),0)</f>
        <v>1015.7950099999999</v>
      </c>
    </row>
    <row r="74" spans="1:39" s="483" customFormat="1">
      <c r="A74" s="484">
        <v>191025</v>
      </c>
      <c r="B74" s="485" t="s">
        <v>256</v>
      </c>
      <c r="C74" s="486" t="s">
        <v>251</v>
      </c>
      <c r="D74" s="686" t="s">
        <v>252</v>
      </c>
      <c r="E74" s="484">
        <v>201309</v>
      </c>
      <c r="F74" s="484">
        <f>E74+1</f>
        <v>201310</v>
      </c>
      <c r="G74" s="484">
        <f>F74+1</f>
        <v>201311</v>
      </c>
      <c r="H74" s="484">
        <f>G74+1</f>
        <v>201312</v>
      </c>
      <c r="I74" s="484">
        <v>201401</v>
      </c>
      <c r="J74" s="484">
        <v>201402</v>
      </c>
      <c r="K74" s="484">
        <v>201403</v>
      </c>
      <c r="L74" s="484">
        <v>201404</v>
      </c>
      <c r="M74" s="484">
        <v>201405</v>
      </c>
      <c r="N74" s="484">
        <v>201406</v>
      </c>
      <c r="O74" s="484">
        <v>201407</v>
      </c>
      <c r="P74" s="484">
        <v>201408</v>
      </c>
      <c r="Q74" s="484">
        <v>201409</v>
      </c>
      <c r="R74" s="484">
        <v>201410</v>
      </c>
      <c r="S74" s="484">
        <v>201411</v>
      </c>
      <c r="T74" s="484">
        <v>201412</v>
      </c>
      <c r="U74" s="484">
        <v>201501</v>
      </c>
      <c r="V74" s="484">
        <f t="shared" ref="V74:AD74" si="41">U74+1</f>
        <v>201502</v>
      </c>
      <c r="W74" s="484">
        <f t="shared" si="41"/>
        <v>201503</v>
      </c>
      <c r="X74" s="484">
        <f t="shared" si="41"/>
        <v>201504</v>
      </c>
      <c r="Y74" s="484">
        <f t="shared" si="41"/>
        <v>201505</v>
      </c>
      <c r="Z74" s="484">
        <f t="shared" si="41"/>
        <v>201506</v>
      </c>
      <c r="AA74" s="484">
        <f t="shared" si="41"/>
        <v>201507</v>
      </c>
      <c r="AB74" s="484">
        <f t="shared" si="41"/>
        <v>201508</v>
      </c>
      <c r="AC74" s="484">
        <f t="shared" si="41"/>
        <v>201509</v>
      </c>
      <c r="AD74" s="484">
        <f t="shared" si="41"/>
        <v>201510</v>
      </c>
      <c r="AE74" s="484">
        <f>AD74+1</f>
        <v>201511</v>
      </c>
      <c r="AF74" s="484">
        <f t="shared" ref="AF74" si="42">AE74+1</f>
        <v>201512</v>
      </c>
      <c r="AH74" s="499" t="s">
        <v>273</v>
      </c>
      <c r="AI74" s="528"/>
      <c r="AJ74" s="358"/>
      <c r="AK74" s="358"/>
      <c r="AL74" s="381">
        <v>0</v>
      </c>
      <c r="AM74" s="500">
        <v>0</v>
      </c>
    </row>
    <row r="75" spans="1:39" ht="16" thickBot="1">
      <c r="A75" s="493"/>
      <c r="B75" s="481" t="s">
        <v>253</v>
      </c>
      <c r="E75" s="482">
        <v>49539.047030000002</v>
      </c>
      <c r="F75" s="482">
        <f>E78</f>
        <v>38932.729789999998</v>
      </c>
      <c r="G75" s="482">
        <f>F78</f>
        <v>8140.2385399999985</v>
      </c>
      <c r="H75" s="482">
        <f>G78</f>
        <v>-693.68146000000161</v>
      </c>
      <c r="I75" s="482">
        <v>-13695.721460000002</v>
      </c>
      <c r="J75" s="482">
        <v>-24946.501630000002</v>
      </c>
      <c r="K75" s="482">
        <v>-35935.697740000003</v>
      </c>
      <c r="L75" s="482">
        <v>-43868.737290000005</v>
      </c>
      <c r="M75" s="482">
        <v>-48533.952360000003</v>
      </c>
      <c r="N75" s="482">
        <v>-51097.105150000003</v>
      </c>
      <c r="O75" s="482">
        <v>-53019.406010000006</v>
      </c>
      <c r="P75" s="482">
        <v>-54619.79959000001</v>
      </c>
      <c r="Q75" s="482">
        <v>-56173.40615000001</v>
      </c>
      <c r="R75" s="482">
        <v>-58149.353890000013</v>
      </c>
      <c r="S75" s="482">
        <v>-61477.482430000011</v>
      </c>
      <c r="T75" s="482">
        <v>-56200.445640000013</v>
      </c>
      <c r="U75" s="482">
        <v>-49897.475640000011</v>
      </c>
      <c r="V75" s="482">
        <f>U78</f>
        <v>-43064.021250000013</v>
      </c>
      <c r="W75" s="482">
        <f t="shared" ref="W75:AD75" si="43">V78</f>
        <v>-38138.117780000015</v>
      </c>
      <c r="X75" s="482">
        <f t="shared" si="43"/>
        <v>-34282.961340000016</v>
      </c>
      <c r="Y75" s="482">
        <f t="shared" si="43"/>
        <v>-31253.873050000017</v>
      </c>
      <c r="Z75" s="482">
        <f t="shared" si="43"/>
        <v>-29770.929110000015</v>
      </c>
      <c r="AA75" s="482">
        <f t="shared" si="43"/>
        <v>-28708.282540000015</v>
      </c>
      <c r="AB75" s="482">
        <f t="shared" si="43"/>
        <v>-27692.487530000013</v>
      </c>
      <c r="AC75" s="482">
        <f t="shared" si="43"/>
        <v>-26711.886850000014</v>
      </c>
      <c r="AD75" s="482">
        <f t="shared" si="43"/>
        <v>-25249.174790000012</v>
      </c>
      <c r="AE75" s="482">
        <f>AD78</f>
        <v>-23172.041910000011</v>
      </c>
      <c r="AF75" s="482">
        <f>AE78</f>
        <v>-23172.041910000011</v>
      </c>
      <c r="AH75" s="501" t="s">
        <v>273</v>
      </c>
      <c r="AI75" s="529"/>
      <c r="AJ75" s="502"/>
      <c r="AK75" s="502"/>
      <c r="AL75" s="503">
        <v>0</v>
      </c>
      <c r="AM75" s="521">
        <v>0</v>
      </c>
    </row>
    <row r="76" spans="1:39" ht="16" thickBot="1">
      <c r="B76" s="481" t="s">
        <v>23</v>
      </c>
      <c r="C76" s="482">
        <f>SUM(U76:AF76)</f>
        <v>26725.433730000008</v>
      </c>
      <c r="D76" s="494">
        <f>SUM(G76:R76)</f>
        <v>-69617.720970000009</v>
      </c>
      <c r="E76" s="482">
        <f>SUMPRODUCT(E53:E60,E65:E72)</f>
        <v>-10606.31724</v>
      </c>
      <c r="F76" s="482">
        <f>SUMPRODUCT(F53:F60,F65:F72)</f>
        <v>-30792.491249999999</v>
      </c>
      <c r="G76" s="482">
        <v>-8833.92</v>
      </c>
      <c r="H76" s="482">
        <v>-13002.04</v>
      </c>
      <c r="I76" s="482">
        <v>-11250.78017</v>
      </c>
      <c r="J76" s="482">
        <v>-10989.196110000001</v>
      </c>
      <c r="K76" s="482">
        <v>-7933.0395500000013</v>
      </c>
      <c r="L76" s="482">
        <v>-4665.2150699999993</v>
      </c>
      <c r="M76" s="482">
        <v>-2563.1527899999996</v>
      </c>
      <c r="N76" s="482">
        <v>-1922.3008600000003</v>
      </c>
      <c r="O76" s="482">
        <v>-1600.3935799999999</v>
      </c>
      <c r="P76" s="482">
        <v>-1553.6065599999997</v>
      </c>
      <c r="Q76" s="482">
        <v>-1975.9477400000001</v>
      </c>
      <c r="R76" s="482">
        <v>-3328.1285399999992</v>
      </c>
      <c r="S76" s="557">
        <v>5277.0367900000001</v>
      </c>
      <c r="T76" s="557">
        <v>6302.97</v>
      </c>
      <c r="U76" s="482">
        <v>6833.4543899999999</v>
      </c>
      <c r="V76" s="482">
        <f t="shared" ref="V76:AD76" si="44">SUMPRODUCT(V53:V60,V65:V72)</f>
        <v>4925.9034700000011</v>
      </c>
      <c r="W76" s="482">
        <f t="shared" si="44"/>
        <v>3855.1564400000007</v>
      </c>
      <c r="X76" s="482">
        <f t="shared" si="44"/>
        <v>3029.0882899999997</v>
      </c>
      <c r="Y76" s="482">
        <f t="shared" si="44"/>
        <v>1482.9439400000001</v>
      </c>
      <c r="Z76" s="482">
        <f t="shared" si="44"/>
        <v>1062.6465700000001</v>
      </c>
      <c r="AA76" s="482">
        <f t="shared" si="44"/>
        <v>1015.7950099999999</v>
      </c>
      <c r="AB76" s="482">
        <f t="shared" si="44"/>
        <v>980.60068000000001</v>
      </c>
      <c r="AC76" s="482">
        <f t="shared" si="44"/>
        <v>1462.7120600000003</v>
      </c>
      <c r="AD76" s="482">
        <f t="shared" si="44"/>
        <v>2077.1328800000001</v>
      </c>
      <c r="AE76" s="563"/>
      <c r="AF76" s="563"/>
      <c r="AH76" s="516"/>
      <c r="AI76" s="530"/>
      <c r="AJ76" s="517"/>
      <c r="AK76" s="517"/>
      <c r="AL76" s="517" t="s">
        <v>159</v>
      </c>
      <c r="AM76" s="518">
        <f>SUM(AL72:AL75)-SUM(AM72:AM75)</f>
        <v>0</v>
      </c>
    </row>
    <row r="77" spans="1:39">
      <c r="B77" s="481" t="s">
        <v>148</v>
      </c>
      <c r="C77" s="482">
        <f>SUM(I77:T77)</f>
        <v>0</v>
      </c>
      <c r="E77" s="482">
        <v>0</v>
      </c>
      <c r="F77" s="482">
        <v>0</v>
      </c>
      <c r="G77" s="482">
        <v>0</v>
      </c>
      <c r="H77" s="482">
        <v>0</v>
      </c>
      <c r="I77" s="482">
        <v>0</v>
      </c>
      <c r="J77" s="482">
        <v>0</v>
      </c>
      <c r="K77" s="482">
        <v>0</v>
      </c>
      <c r="L77" s="482">
        <v>0</v>
      </c>
      <c r="M77" s="482">
        <v>0</v>
      </c>
      <c r="N77" s="482">
        <v>0</v>
      </c>
      <c r="O77" s="482">
        <v>0</v>
      </c>
      <c r="P77" s="482">
        <v>0</v>
      </c>
      <c r="Q77" s="482">
        <v>0</v>
      </c>
      <c r="R77" s="482">
        <v>0</v>
      </c>
      <c r="S77" s="482">
        <v>0</v>
      </c>
      <c r="T77" s="482">
        <v>0</v>
      </c>
      <c r="U77" s="482">
        <v>0</v>
      </c>
      <c r="V77" s="482">
        <v>0</v>
      </c>
      <c r="W77" s="482">
        <v>0</v>
      </c>
      <c r="X77" s="482">
        <v>0</v>
      </c>
      <c r="Y77" s="482">
        <v>0</v>
      </c>
      <c r="Z77" s="482">
        <v>0</v>
      </c>
      <c r="AA77" s="482">
        <v>0</v>
      </c>
      <c r="AB77" s="482">
        <v>0</v>
      </c>
      <c r="AC77" s="482">
        <v>0</v>
      </c>
      <c r="AD77" s="482">
        <v>0</v>
      </c>
      <c r="AE77" s="482">
        <v>0</v>
      </c>
      <c r="AF77" s="482">
        <v>0</v>
      </c>
    </row>
    <row r="78" spans="1:39" ht="16" thickBot="1">
      <c r="B78" s="481" t="s">
        <v>56</v>
      </c>
      <c r="C78" s="541">
        <f>SUM(C76:C77)</f>
        <v>26725.433730000008</v>
      </c>
      <c r="D78" s="541"/>
      <c r="E78" s="541">
        <f t="shared" ref="E78:H78" si="45">SUM(E75:E77)</f>
        <v>38932.729789999998</v>
      </c>
      <c r="F78" s="541">
        <f t="shared" si="45"/>
        <v>8140.2385399999985</v>
      </c>
      <c r="G78" s="541">
        <f t="shared" si="45"/>
        <v>-693.68146000000161</v>
      </c>
      <c r="H78" s="541">
        <f t="shared" si="45"/>
        <v>-13695.721460000002</v>
      </c>
      <c r="I78" s="541">
        <v>-24946.501630000002</v>
      </c>
      <c r="J78" s="541">
        <v>-35935.697740000003</v>
      </c>
      <c r="K78" s="541">
        <v>-43868.737290000005</v>
      </c>
      <c r="L78" s="541">
        <v>-48533.952360000003</v>
      </c>
      <c r="M78" s="541">
        <v>-51097.105150000003</v>
      </c>
      <c r="N78" s="541">
        <v>-53019.406010000006</v>
      </c>
      <c r="O78" s="541">
        <v>-54619.79959000001</v>
      </c>
      <c r="P78" s="541">
        <v>-56173.40615000001</v>
      </c>
      <c r="Q78" s="541">
        <v>-58149.353890000013</v>
      </c>
      <c r="R78" s="541">
        <v>-61477.482430000011</v>
      </c>
      <c r="S78" s="541">
        <v>-56200.445640000013</v>
      </c>
      <c r="T78" s="541">
        <v>-49897.475640000011</v>
      </c>
      <c r="U78" s="541">
        <v>-43064.021250000013</v>
      </c>
      <c r="V78" s="541">
        <f t="shared" ref="V78:AF78" si="46">SUM(V75:V77)</f>
        <v>-38138.117780000015</v>
      </c>
      <c r="W78" s="541">
        <f t="shared" si="46"/>
        <v>-34282.961340000016</v>
      </c>
      <c r="X78" s="541">
        <f t="shared" si="46"/>
        <v>-31253.873050000017</v>
      </c>
      <c r="Y78" s="541">
        <f t="shared" si="46"/>
        <v>-29770.929110000015</v>
      </c>
      <c r="Z78" s="541">
        <f t="shared" si="46"/>
        <v>-28708.282540000015</v>
      </c>
      <c r="AA78" s="541">
        <f t="shared" si="46"/>
        <v>-27692.487530000013</v>
      </c>
      <c r="AB78" s="541">
        <f t="shared" si="46"/>
        <v>-26711.886850000014</v>
      </c>
      <c r="AC78" s="541">
        <f t="shared" si="46"/>
        <v>-25249.174790000012</v>
      </c>
      <c r="AD78" s="541">
        <f t="shared" si="46"/>
        <v>-23172.041910000011</v>
      </c>
      <c r="AE78" s="541">
        <f t="shared" si="46"/>
        <v>-23172.041910000011</v>
      </c>
      <c r="AF78" s="541">
        <f t="shared" si="46"/>
        <v>-23172.041910000011</v>
      </c>
    </row>
    <row r="79" spans="1:39" ht="16" thickTop="1">
      <c r="B79" s="481" t="s">
        <v>260</v>
      </c>
      <c r="E79" s="482" t="e">
        <f ca="1">_xll.Get_Balance(E74,"YTD","USD","Total","A","","001",$A$74,"GD","WA","DL")</f>
        <v>#NAME?</v>
      </c>
      <c r="F79" s="482" t="e">
        <f ca="1">_xll.Get_Balance(F74,"YTD","USD","Total","A","","001",$A$74,"GD","WA","DL")</f>
        <v>#NAME?</v>
      </c>
      <c r="G79" s="482" t="e">
        <f ca="1">_xll.Get_Balance(G74,"YTD","USD","Total","A","","001",$A$74,"GD","WA","DL")</f>
        <v>#NAME?</v>
      </c>
      <c r="H79" s="482" t="e">
        <f ca="1">_xll.Get_Balance(H74,"YTD","USD","Total","A","","001",$A$74,"GD","WA","DL")</f>
        <v>#NAME?</v>
      </c>
      <c r="I79" s="482">
        <v>-24946.5</v>
      </c>
      <c r="J79" s="482">
        <v>-35935.699999999997</v>
      </c>
      <c r="K79" s="482">
        <v>-43868.74</v>
      </c>
      <c r="L79" s="482">
        <v>-48533.96</v>
      </c>
      <c r="M79" s="482">
        <v>-51097.11</v>
      </c>
      <c r="N79" s="482">
        <v>-53019.41</v>
      </c>
      <c r="O79" s="482">
        <v>-54619.8</v>
      </c>
      <c r="P79" s="482">
        <v>-56173.41</v>
      </c>
      <c r="Q79" s="482">
        <v>-58149.36</v>
      </c>
      <c r="R79" s="482">
        <v>-61477.49</v>
      </c>
      <c r="S79" s="482">
        <v>-56200.45</v>
      </c>
      <c r="T79" s="482">
        <v>-49897.48</v>
      </c>
      <c r="U79" s="482">
        <v>-43064.03</v>
      </c>
      <c r="V79" s="482" t="e">
        <f ca="1">_xll.Get_Balance(V74,"YTD","USD","Total","A","","001",$A$74,"GD","WA","DL")</f>
        <v>#NAME?</v>
      </c>
      <c r="W79" s="482" t="e">
        <f ca="1">_xll.Get_Balance(W74,"YTD","USD","Total","A","","001",$A$74,"GD","WA","DL")</f>
        <v>#NAME?</v>
      </c>
      <c r="X79" s="482" t="e">
        <f ca="1">_xll.Get_Balance(X74,"YTD","USD","Total","A","","001",$A$74,"GD","WA","DL")</f>
        <v>#NAME?</v>
      </c>
      <c r="Y79" s="482" t="e">
        <f ca="1">_xll.Get_Balance(Y74,"YTD","USD","Total","A","","001",$A$74,"GD","WA","DL")</f>
        <v>#NAME?</v>
      </c>
      <c r="Z79" s="482" t="e">
        <f ca="1">_xll.Get_Balance(Z74,"YTD","USD","Total","A","","001",$A$74,"GD","WA","DL")</f>
        <v>#NAME?</v>
      </c>
      <c r="AA79" s="482" t="e">
        <f ca="1">_xll.Get_Balance(AA74,"YTD","USD","Total","A","","001",$A$74,"GD","WA","DL")</f>
        <v>#NAME?</v>
      </c>
      <c r="AB79" s="482" t="e">
        <f ca="1">_xll.Get_Balance(AB74,"YTD","USD","Total","A","","001",$A$74,"GD","WA","DL")</f>
        <v>#NAME?</v>
      </c>
      <c r="AC79" s="482" t="e">
        <f ca="1">_xll.Get_Balance(AC74,"YTD","USD","Total","A","","001",$A$74,"GD","WA","DL")</f>
        <v>#NAME?</v>
      </c>
      <c r="AD79" s="482" t="e">
        <f ca="1">_xll.Get_Balance(AD74,"YTD","USD","Total","A","","001",$A$74,"GD","WA","DL")</f>
        <v>#NAME?</v>
      </c>
      <c r="AE79" s="482" t="e">
        <f ca="1">_xll.Get_Balance(AE74,"YTD","USD","Total","A","","001",$A$74,"GD","WA","DL")</f>
        <v>#NAME?</v>
      </c>
      <c r="AF79" s="482" t="e">
        <f ca="1">_xll.Get_Balance(AF74,"YTD","USD","Total","A","","001",$A$74,"GD","WA","DL")</f>
        <v>#NAME?</v>
      </c>
    </row>
    <row r="80" spans="1:39">
      <c r="B80" s="481" t="s">
        <v>245</v>
      </c>
      <c r="E80" s="482" t="e">
        <f t="shared" ref="E80:H80" ca="1" si="47">E78-E79</f>
        <v>#NAME?</v>
      </c>
      <c r="F80" s="482" t="e">
        <f t="shared" ca="1" si="47"/>
        <v>#NAME?</v>
      </c>
      <c r="G80" s="482" t="e">
        <f t="shared" ca="1" si="47"/>
        <v>#NAME?</v>
      </c>
      <c r="H80" s="482" t="e">
        <f t="shared" ca="1" si="47"/>
        <v>#NAME?</v>
      </c>
      <c r="I80" s="482">
        <v>-1.6300000024784822E-3</v>
      </c>
      <c r="J80" s="482">
        <v>2.2599999938393012E-3</v>
      </c>
      <c r="K80" s="482">
        <v>2.7099999933852814E-3</v>
      </c>
      <c r="L80" s="482">
        <v>7.6399999961722642E-3</v>
      </c>
      <c r="M80" s="482">
        <v>4.8499999975319952E-3</v>
      </c>
      <c r="N80" s="482">
        <v>3.9899999974295497E-3</v>
      </c>
      <c r="O80" s="482">
        <v>4.0999999328050762E-4</v>
      </c>
      <c r="P80" s="482">
        <v>3.8499999936902896E-3</v>
      </c>
      <c r="Q80" s="482">
        <v>6.1099999875295907E-3</v>
      </c>
      <c r="R80" s="482">
        <v>7.5699999870266765E-3</v>
      </c>
      <c r="S80" s="482">
        <v>4.3599999844445847E-3</v>
      </c>
      <c r="T80" s="482">
        <v>4.3599999917205423E-3</v>
      </c>
      <c r="U80" s="482">
        <v>8.7499999863211997E-3</v>
      </c>
      <c r="V80" s="482" t="e">
        <f t="shared" ref="V80:AF80" ca="1" si="48">V78-V79</f>
        <v>#NAME?</v>
      </c>
      <c r="W80" s="482" t="e">
        <f t="shared" ca="1" si="48"/>
        <v>#NAME?</v>
      </c>
      <c r="X80" s="482" t="e">
        <f t="shared" ca="1" si="48"/>
        <v>#NAME?</v>
      </c>
      <c r="Y80" s="482" t="e">
        <f t="shared" ca="1" si="48"/>
        <v>#NAME?</v>
      </c>
      <c r="Z80" s="482" t="e">
        <f t="shared" ca="1" si="48"/>
        <v>#NAME?</v>
      </c>
      <c r="AA80" s="482" t="e">
        <f t="shared" ca="1" si="48"/>
        <v>#NAME?</v>
      </c>
      <c r="AB80" s="482" t="e">
        <f t="shared" ca="1" si="48"/>
        <v>#NAME?</v>
      </c>
      <c r="AC80" s="482" t="e">
        <f t="shared" ca="1" si="48"/>
        <v>#NAME?</v>
      </c>
      <c r="AD80" s="482" t="e">
        <f t="shared" ca="1" si="48"/>
        <v>#NAME?</v>
      </c>
      <c r="AE80" s="482" t="e">
        <f t="shared" ca="1" si="48"/>
        <v>#NAME?</v>
      </c>
      <c r="AF80" s="482" t="e">
        <f t="shared" ca="1" si="48"/>
        <v>#NAME?</v>
      </c>
    </row>
  </sheetData>
  <conditionalFormatting sqref="E28 K28:AG28 L62:AG62">
    <cfRule type="cellIs" dxfId="488" priority="23" operator="notEqual">
      <formula>E27</formula>
    </cfRule>
  </conditionalFormatting>
  <conditionalFormatting sqref="F28">
    <cfRule type="cellIs" dxfId="487" priority="22" operator="notEqual">
      <formula>F27</formula>
    </cfRule>
  </conditionalFormatting>
  <conditionalFormatting sqref="G28">
    <cfRule type="cellIs" dxfId="486" priority="21" operator="notEqual">
      <formula>G27</formula>
    </cfRule>
  </conditionalFormatting>
  <conditionalFormatting sqref="H28">
    <cfRule type="cellIs" dxfId="485" priority="20" operator="notEqual">
      <formula>H27</formula>
    </cfRule>
  </conditionalFormatting>
  <conditionalFormatting sqref="G62">
    <cfRule type="cellIs" dxfId="484" priority="19" operator="notEqual">
      <formula>G61</formula>
    </cfRule>
  </conditionalFormatting>
  <conditionalFormatting sqref="H62">
    <cfRule type="cellIs" dxfId="483" priority="18" operator="notEqual">
      <formula>H61</formula>
    </cfRule>
  </conditionalFormatting>
  <conditionalFormatting sqref="E62">
    <cfRule type="cellIs" dxfId="482" priority="17" operator="notEqual">
      <formula>E61</formula>
    </cfRule>
  </conditionalFormatting>
  <conditionalFormatting sqref="F62">
    <cfRule type="cellIs" dxfId="481" priority="16" operator="notEqual">
      <formula>F61</formula>
    </cfRule>
  </conditionalFormatting>
  <conditionalFormatting sqref="AM76 AM45 AM11">
    <cfRule type="cellIs" dxfId="480" priority="15" operator="notEqual">
      <formula>0</formula>
    </cfRule>
  </conditionalFormatting>
  <conditionalFormatting sqref="D62">
    <cfRule type="cellIs" dxfId="479" priority="14" operator="notEqual">
      <formula>D61</formula>
    </cfRule>
  </conditionalFormatting>
  <conditionalFormatting sqref="C62">
    <cfRule type="cellIs" dxfId="478" priority="13" operator="notEqual">
      <formula>C61</formula>
    </cfRule>
  </conditionalFormatting>
  <conditionalFormatting sqref="D28">
    <cfRule type="cellIs" dxfId="477" priority="12" operator="notEqual">
      <formula>D27</formula>
    </cfRule>
  </conditionalFormatting>
  <conditionalFormatting sqref="C28">
    <cfRule type="cellIs" dxfId="476" priority="11" operator="notEqual">
      <formula>C27</formula>
    </cfRule>
  </conditionalFormatting>
  <conditionalFormatting sqref="I28">
    <cfRule type="cellIs" dxfId="475" priority="10" operator="notEqual">
      <formula>I27</formula>
    </cfRule>
  </conditionalFormatting>
  <conditionalFormatting sqref="I62">
    <cfRule type="cellIs" dxfId="474" priority="9" operator="notEqual">
      <formula>I61</formula>
    </cfRule>
  </conditionalFormatting>
  <conditionalFormatting sqref="J28">
    <cfRule type="cellIs" dxfId="473" priority="8" operator="notEqual">
      <formula>J27</formula>
    </cfRule>
  </conditionalFormatting>
  <conditionalFormatting sqref="J62">
    <cfRule type="cellIs" dxfId="472" priority="7" operator="notEqual">
      <formula>J61</formula>
    </cfRule>
  </conditionalFormatting>
  <conditionalFormatting sqref="K62">
    <cfRule type="cellIs" dxfId="471" priority="6" operator="notEqual">
      <formula>K61</formula>
    </cfRule>
  </conditionalFormatting>
  <conditionalFormatting sqref="U28">
    <cfRule type="cellIs" dxfId="470" priority="5" operator="notEqual">
      <formula>U27</formula>
    </cfRule>
  </conditionalFormatting>
  <conditionalFormatting sqref="U62">
    <cfRule type="cellIs" dxfId="469" priority="4" operator="notEqual">
      <formula>U61</formula>
    </cfRule>
  </conditionalFormatting>
  <conditionalFormatting sqref="V28">
    <cfRule type="cellIs" dxfId="468" priority="3" operator="notEqual">
      <formula>V27</formula>
    </cfRule>
  </conditionalFormatting>
  <conditionalFormatting sqref="V62">
    <cfRule type="cellIs" dxfId="467" priority="2" operator="notEqual">
      <formula>V61</formula>
    </cfRule>
  </conditionalFormatting>
  <conditionalFormatting sqref="W62">
    <cfRule type="cellIs" dxfId="466" priority="1" operator="notEqual">
      <formula>W61</formula>
    </cfRule>
  </conditionalFormatting>
  <pageMargins left="0" right="0" top="0.75" bottom="0.75" header="0.3" footer="0.3"/>
  <pageSetup scale="43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pageSetUpPr fitToPage="1"/>
  </sheetPr>
  <dimension ref="A1:AO93"/>
  <sheetViews>
    <sheetView topLeftCell="S1" zoomScale="89" zoomScaleNormal="89" zoomScaleSheetLayoutView="85" workbookViewId="0">
      <selection activeCell="AH45" sqref="AH45"/>
    </sheetView>
  </sheetViews>
  <sheetFormatPr defaultColWidth="9.09765625" defaultRowHeight="15.5"/>
  <cols>
    <col min="1" max="1" width="16.69921875" style="482" customWidth="1"/>
    <col min="2" max="2" width="25.296875" style="481" bestFit="1" customWidth="1"/>
    <col min="3" max="3" width="16.296875" style="482" bestFit="1" customWidth="1"/>
    <col min="4" max="4" width="16.09765625" style="482" customWidth="1"/>
    <col min="5" max="6" width="16.3984375" style="482" hidden="1" customWidth="1"/>
    <col min="7" max="7" width="16.296875" style="482" hidden="1" customWidth="1"/>
    <col min="8" max="9" width="18.3984375" style="482" hidden="1" customWidth="1"/>
    <col min="10" max="12" width="16.296875" style="482" hidden="1" customWidth="1"/>
    <col min="13" max="13" width="16.8984375" style="482" hidden="1" customWidth="1"/>
    <col min="14" max="18" width="16.296875" style="482" hidden="1" customWidth="1"/>
    <col min="19" max="20" width="16.296875" style="482" customWidth="1"/>
    <col min="21" max="21" width="18.3984375" style="482" customWidth="1"/>
    <col min="22" max="23" width="16.296875" style="482" customWidth="1"/>
    <col min="24" max="24" width="16.69921875" style="482" customWidth="1"/>
    <col min="25" max="25" width="16.8984375" style="482" customWidth="1"/>
    <col min="26" max="27" width="16.296875" style="482" customWidth="1"/>
    <col min="28" max="32" width="16.296875" style="482" hidden="1" customWidth="1"/>
    <col min="33" max="33" width="1.59765625" style="482" customWidth="1"/>
    <col min="34" max="34" width="36.296875" style="482" bestFit="1" customWidth="1"/>
    <col min="35" max="35" width="15.59765625" style="525" bestFit="1" customWidth="1"/>
    <col min="36" max="36" width="4.69921875" style="482" bestFit="1" customWidth="1"/>
    <col min="37" max="37" width="3.3984375" style="482" bestFit="1" customWidth="1"/>
    <col min="38" max="39" width="17.09765625" style="482" bestFit="1" customWidth="1"/>
    <col min="40" max="40" width="0.59765625" style="482" customWidth="1"/>
    <col min="41" max="16384" width="9.09765625" style="482"/>
  </cols>
  <sheetData>
    <row r="1" spans="1:39">
      <c r="A1" s="480" t="s">
        <v>265</v>
      </c>
      <c r="AH1" s="480" t="s">
        <v>315</v>
      </c>
    </row>
    <row r="2" spans="1:39">
      <c r="A2" s="483" t="s">
        <v>267</v>
      </c>
    </row>
    <row r="3" spans="1:39" s="483" customFormat="1" ht="31.5" thickBot="1">
      <c r="A3" s="484">
        <v>191010</v>
      </c>
      <c r="B3" s="485" t="s">
        <v>256</v>
      </c>
      <c r="C3" s="486" t="s">
        <v>251</v>
      </c>
      <c r="D3" s="686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I3" s="484"/>
    </row>
    <row r="4" spans="1:39" s="483" customFormat="1" ht="16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H4" s="544">
        <v>201507</v>
      </c>
      <c r="AI4" s="526"/>
      <c r="AJ4" s="514"/>
      <c r="AK4" s="514"/>
      <c r="AL4" s="514"/>
      <c r="AM4" s="515"/>
    </row>
    <row r="5" spans="1:39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f>T13</f>
        <v>-411904.7279799963</v>
      </c>
      <c r="V5" s="482">
        <f>U13</f>
        <v>-645308.82581999747</v>
      </c>
      <c r="W5" s="482">
        <f t="shared" ref="W5:AF5" si="1">V13</f>
        <v>-851213.3205709972</v>
      </c>
      <c r="X5" s="482">
        <f t="shared" si="1"/>
        <v>-383853.68833599566</v>
      </c>
      <c r="Y5" s="482">
        <f t="shared" si="1"/>
        <v>-1320748.2898439963</v>
      </c>
      <c r="Z5" s="482">
        <f t="shared" si="1"/>
        <v>-1486769.1493459961</v>
      </c>
      <c r="AA5" s="482">
        <f t="shared" si="1"/>
        <v>-1775279.9458759972</v>
      </c>
      <c r="AB5" s="482">
        <f t="shared" si="1"/>
        <v>-2119120.6388879968</v>
      </c>
      <c r="AC5" s="482">
        <f t="shared" si="1"/>
        <v>-2515662.2971379957</v>
      </c>
      <c r="AD5" s="482">
        <f t="shared" si="1"/>
        <v>-3163911.9401459969</v>
      </c>
      <c r="AE5" s="482">
        <f t="shared" si="1"/>
        <v>-3819344.4755009972</v>
      </c>
      <c r="AF5" s="482">
        <f t="shared" si="1"/>
        <v>-4461427.0393109964</v>
      </c>
      <c r="AH5" s="497" t="s">
        <v>304</v>
      </c>
      <c r="AI5" s="527">
        <v>419600</v>
      </c>
      <c r="AJ5" s="498" t="s">
        <v>288</v>
      </c>
      <c r="AK5" s="498" t="s">
        <v>291</v>
      </c>
      <c r="AL5" s="519">
        <v>0</v>
      </c>
      <c r="AM5" s="520">
        <f>IF(SUMIF(U3:AF3,AH4,U8:AF8)&gt;0,SUMIF(U3:AF3,AH4,U8:AF8),0)</f>
        <v>0</v>
      </c>
    </row>
    <row r="6" spans="1:39">
      <c r="B6" s="481" t="s">
        <v>254</v>
      </c>
      <c r="C6" s="482">
        <f>SUM(U6:AF6)</f>
        <v>-5056717.7079139985</v>
      </c>
      <c r="D6" s="482">
        <f>-1369125.49+SUM(E6:N6,E9:T9)</f>
        <v>-2.14532227255404E-3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f>Jan!$J$53</f>
        <v>331968.15844599903</v>
      </c>
      <c r="V6" s="482">
        <f>Feb!$J$53</f>
        <v>0</v>
      </c>
      <c r="W6" s="482">
        <f>Mar!$J$53</f>
        <v>547802.71264300169</v>
      </c>
      <c r="X6" s="482">
        <f>Apr!$J$53</f>
        <v>-1029654.8148680007</v>
      </c>
      <c r="Y6" s="482">
        <f>May!$J$53</f>
        <v>-494908.28808599967</v>
      </c>
      <c r="Z6" s="482">
        <f>Jun!$J$53</f>
        <v>-803843.28933000052</v>
      </c>
      <c r="AA6" s="482">
        <f>Jul!$J$53</f>
        <v>-778841.02357199905</v>
      </c>
      <c r="AB6" s="482">
        <f>Aug!$J$53</f>
        <v>-816009.11660199915</v>
      </c>
      <c r="AC6" s="482">
        <f>Sep!$J$53</f>
        <v>-995450.54456800083</v>
      </c>
      <c r="AD6" s="482">
        <f>Oct!$J$55</f>
        <v>-911936.74747700011</v>
      </c>
      <c r="AE6" s="482">
        <f>Nov!$J$55</f>
        <v>-105844.75449999981</v>
      </c>
      <c r="AF6" s="482">
        <f>Dec!$J$53</f>
        <v>0</v>
      </c>
      <c r="AH6" s="499" t="s">
        <v>305</v>
      </c>
      <c r="AI6" s="528">
        <v>431600</v>
      </c>
      <c r="AJ6" s="358" t="s">
        <v>288</v>
      </c>
      <c r="AK6" s="358" t="s">
        <v>291</v>
      </c>
      <c r="AL6" s="381">
        <f>IF(SUMIF(U3:AF3,AH4,U8:AF8)&lt;0,-SUMIF(U3:AF3,AH4,U8:AF8),0)</f>
        <v>1621.99</v>
      </c>
      <c r="AM6" s="500">
        <v>0</v>
      </c>
    </row>
    <row r="7" spans="1:39">
      <c r="B7" s="481" t="s">
        <v>255</v>
      </c>
      <c r="C7" s="482">
        <f t="shared" ref="C7:C11" si="2">SUM(U7:AF7)</f>
        <v>954206.43658299907</v>
      </c>
      <c r="D7" s="482">
        <f>1867859.17+SUM(E7:N7,E10:T10)</f>
        <v>-1.7596203833818436E-3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f>Jan!$K$53</f>
        <v>-634725.57628600008</v>
      </c>
      <c r="V7" s="482">
        <f>Feb!$K$53</f>
        <v>-205263.17475099966</v>
      </c>
      <c r="W7" s="482">
        <f>Mar!$K$53</f>
        <v>-80067.220408000168</v>
      </c>
      <c r="X7" s="482">
        <f>Apr!$K$53</f>
        <v>93304.253359999973</v>
      </c>
      <c r="Y7" s="482">
        <f>May!$K$53</f>
        <v>330056.73858399986</v>
      </c>
      <c r="Z7" s="482">
        <f>Jun!$K$53</f>
        <v>516691.11279999983</v>
      </c>
      <c r="AA7" s="482">
        <f>Jul!$K$53</f>
        <v>436622.32056000002</v>
      </c>
      <c r="AB7" s="482">
        <f>Aug!$K$53</f>
        <v>421397.81835199991</v>
      </c>
      <c r="AC7" s="482">
        <f>Sep!$K$53</f>
        <v>349566.40155999974</v>
      </c>
      <c r="AD7" s="482">
        <f>Oct!$K$55</f>
        <v>259412.69212199986</v>
      </c>
      <c r="AE7" s="563">
        <f>Nov!$K$55</f>
        <v>-532788.92931000004</v>
      </c>
      <c r="AF7" s="482">
        <f>Dec!$K$53</f>
        <v>0</v>
      </c>
      <c r="AH7" s="499" t="s">
        <v>306</v>
      </c>
      <c r="AI7" s="528">
        <v>191010</v>
      </c>
      <c r="AJ7" s="358" t="s">
        <v>288</v>
      </c>
      <c r="AK7" s="358" t="s">
        <v>291</v>
      </c>
      <c r="AL7" s="381">
        <f>IF((SUMIF(U3:AF3,AH4,U6:AF6)+SUMIF(U3:AF3,AH4,U7:AF7)+SUMIF(U3:AF3,AH4,U8:AF8))&gt;0,(SUMIF(U3:AF3,AH4,U6:AF6)+SUMIF(U3:AF3,AH4,U7:AF7)+SUMIF(U3:AF3,AH4,U8:AF8)),0)</f>
        <v>0</v>
      </c>
      <c r="AM7" s="500">
        <f>IF((SUMIF(U3:AF3,AH4,U6:AF6)+SUMIF(U3:AF3,AH4,U7:AF7)+SUMIF(U3:AF3,AH4,U8:AF8))&lt;0,-(SUMIF(U3:AF3,AH4,U6:AF6)+SUMIF(U3:AF3,AH4,U7:AF7)++SUMIF(U3:AF3,AH4,U8:AF8)),0)</f>
        <v>343840.69301199901</v>
      </c>
    </row>
    <row r="8" spans="1:39">
      <c r="B8" s="481" t="s">
        <v>258</v>
      </c>
      <c r="C8" s="482">
        <f t="shared" si="2"/>
        <v>-20775.64</v>
      </c>
      <c r="D8" s="482">
        <f>-7356.73+SUM(E8:N8,E11:T11)</f>
        <v>0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f>ROUND(((X5+X12)*(X4/12))+((SUM(X6:X7)/2)*(X4/12)),2)</f>
        <v>-709.89</v>
      </c>
      <c r="Y8" s="489">
        <f t="shared" ref="Y8:AC8" si="3">ROUND(((Y5+Y9+Y10+Y11)*(Y4/12))+((SUM(Y6:Y7)/2)*(Y4/12)),2)</f>
        <v>-1169.31</v>
      </c>
      <c r="Z8" s="489">
        <f t="shared" si="3"/>
        <v>-1358.62</v>
      </c>
      <c r="AA8" s="489">
        <f t="shared" si="3"/>
        <v>-1621.99</v>
      </c>
      <c r="AB8" s="489">
        <f t="shared" si="3"/>
        <v>-1930.36</v>
      </c>
      <c r="AC8" s="489">
        <f t="shared" si="3"/>
        <v>-2365.5</v>
      </c>
      <c r="AD8" s="489">
        <f>ROUND(((AD5+AD9+AD10+AD11)*(AD4/12))+((SUM(AD6:AD7)/2)*(AD4/12)),2)</f>
        <v>-2908.48</v>
      </c>
      <c r="AE8" s="482">
        <f>ROUND(((AE5+AE9+AE10+AE11)*(AE4/12))+((SUM(AE6:AE7)/2)*(AE4/12)),2)</f>
        <v>-3448.88</v>
      </c>
      <c r="AF8" s="489">
        <f>ROUND(((AF5+AF9+AF10+AF11)*(AF4/12))+((SUM(AF6:AF7)/2)*(AF4/12)),2)</f>
        <v>-3717.86</v>
      </c>
      <c r="AH8" s="499" t="s">
        <v>307</v>
      </c>
      <c r="AI8" s="528">
        <v>805120</v>
      </c>
      <c r="AJ8" s="358" t="s">
        <v>288</v>
      </c>
      <c r="AK8" s="358" t="s">
        <v>291</v>
      </c>
      <c r="AL8" s="381">
        <f>IF((SUMIF(U3:AF3,AH4,U6:AF6)+SUMIF(U3:AF3,AH4,U7:AF7))&lt;0,-(SUMIF(U3:AF3,AH4,U6:AF6)+SUMIF(U3:AF3,AH4,U7:AF7)),0)</f>
        <v>342218.70301199902</v>
      </c>
      <c r="AM8" s="500">
        <f>IF((SUMIF(U3:AF3,AH4,U6:AF6)+SUMIF(U3:AF3,AH4,U7:AF7))&gt;0,(SUMIF(U3:AF3,AH4,U6:AF6)+SUMIF(U3:AF3,AH4,U7:AF7)),0)</f>
        <v>0</v>
      </c>
    </row>
    <row r="9" spans="1:39">
      <c r="B9" s="481" t="s">
        <v>262</v>
      </c>
      <c r="C9" s="482">
        <f t="shared" si="2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F9" s="482">
        <v>0</v>
      </c>
      <c r="AH9" s="499" t="s">
        <v>11</v>
      </c>
      <c r="AI9" s="528">
        <v>191010</v>
      </c>
      <c r="AJ9" s="358" t="s">
        <v>288</v>
      </c>
      <c r="AK9" s="358" t="s">
        <v>291</v>
      </c>
      <c r="AL9" s="381">
        <v>0</v>
      </c>
      <c r="AM9" s="500">
        <v>0</v>
      </c>
    </row>
    <row r="10" spans="1:39" ht="16" thickBot="1">
      <c r="B10" s="481" t="s">
        <v>263</v>
      </c>
      <c r="C10" s="482">
        <f t="shared" si="2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F10" s="482">
        <v>0</v>
      </c>
      <c r="AH10" s="501" t="str">
        <f>AH9</f>
        <v>Tracker Transfer</v>
      </c>
      <c r="AI10" s="529">
        <f>AI44</f>
        <v>191000</v>
      </c>
      <c r="AJ10" s="529" t="str">
        <f>AJ44</f>
        <v>GD</v>
      </c>
      <c r="AK10" s="529" t="str">
        <f>AK44</f>
        <v>ID</v>
      </c>
      <c r="AL10" s="503">
        <v>0</v>
      </c>
      <c r="AM10" s="521">
        <f>AL9</f>
        <v>0</v>
      </c>
    </row>
    <row r="11" spans="1:39" ht="16" thickBot="1">
      <c r="B11" s="481" t="s">
        <v>264</v>
      </c>
      <c r="C11" s="482">
        <f t="shared" si="2"/>
        <v>-49.16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F11" s="482">
        <v>0</v>
      </c>
      <c r="AH11" s="516"/>
      <c r="AI11" s="530"/>
      <c r="AJ11" s="517"/>
      <c r="AK11" s="517"/>
      <c r="AL11" s="517" t="s">
        <v>159</v>
      </c>
      <c r="AM11" s="518">
        <f>SUM(AL5:AL10)-SUM(AM5:AM10)</f>
        <v>0</v>
      </c>
    </row>
    <row r="12" spans="1:39">
      <c r="B12" s="481" t="s">
        <v>148</v>
      </c>
      <c r="C12" s="482">
        <f>SUM(U12:AF12)</f>
        <v>70095.900000000009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</row>
    <row r="13" spans="1:39" ht="16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4">SUM(F5:F12)</f>
        <v>-179650.44284699953</v>
      </c>
      <c r="G13" s="541">
        <f t="shared" si="4"/>
        <v>-770749.33284699952</v>
      </c>
      <c r="H13" s="541">
        <f t="shared" si="4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F13" si="5">SUM(U5:U12)</f>
        <v>-645308.82581999747</v>
      </c>
      <c r="V13" s="541">
        <f t="shared" si="5"/>
        <v>-851213.3205709972</v>
      </c>
      <c r="W13" s="541">
        <f t="shared" si="5"/>
        <v>-383853.68833599566</v>
      </c>
      <c r="X13" s="541">
        <f t="shared" si="5"/>
        <v>-1320748.2898439963</v>
      </c>
      <c r="Y13" s="541">
        <f t="shared" si="5"/>
        <v>-1486769.1493459961</v>
      </c>
      <c r="Z13" s="541">
        <f t="shared" si="5"/>
        <v>-1775279.9458759972</v>
      </c>
      <c r="AA13" s="541">
        <f t="shared" si="5"/>
        <v>-2119120.6388879968</v>
      </c>
      <c r="AB13" s="541">
        <f t="shared" si="5"/>
        <v>-2515662.2971379957</v>
      </c>
      <c r="AC13" s="541">
        <f t="shared" si="5"/>
        <v>-3163911.9401459969</v>
      </c>
      <c r="AD13" s="541">
        <f t="shared" si="5"/>
        <v>-3819344.4755009972</v>
      </c>
      <c r="AE13" s="541">
        <f t="shared" si="5"/>
        <v>-4461427.0393109964</v>
      </c>
      <c r="AF13" s="541">
        <f t="shared" si="5"/>
        <v>-4465144.8993109968</v>
      </c>
    </row>
    <row r="14" spans="1:39" ht="16" thickTop="1">
      <c r="B14" s="481" t="s">
        <v>260</v>
      </c>
      <c r="E14" s="482" t="e">
        <f ca="1">_xll.Get_Balance(E3,"YTD","USD","Total","A","","001",$A$3,"GD","ID","DL")</f>
        <v>#NAME?</v>
      </c>
      <c r="F14" s="482" t="e">
        <f ca="1">_xll.Get_Balance(F3,"YTD","USD","Total","A","","001",$A$3,"GD","ID","DL")</f>
        <v>#NAME?</v>
      </c>
      <c r="G14" s="482" t="e">
        <f ca="1">_xll.Get_Balance(G3,"YTD","USD","Total","A","","001",$A$3,"GD","ID","DL")</f>
        <v>#NAME?</v>
      </c>
      <c r="H14" s="482" t="e">
        <f ca="1">_xll.Get_Balance(H3,"YTD","USD","Total","A","","001",$A$3,"GD","ID","DL")</f>
        <v>#NAME?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 t="e">
        <f ca="1">_xll.Get_Balance(S3,"YTD","USD","Total","A","","001",$A$3,"GD","ID","DL")</f>
        <v>#NAME?</v>
      </c>
      <c r="T14" s="482" t="e">
        <f ca="1">_xll.Get_Balance(T3,"YTD","USD","Total","A","","001",$A$3,"GD","ID","DL")</f>
        <v>#NAME?</v>
      </c>
      <c r="U14" s="482" t="e">
        <f ca="1">_xll.Get_Balance(U3,"YTD","USD","Total","A","","001",$A$3,"GD","ID","DL")</f>
        <v>#NAME?</v>
      </c>
      <c r="V14" s="482" t="e">
        <f ca="1">_xll.Get_Balance(V3,"YTD","USD","Total","A","","001",$A$3,"GD","ID","DL")</f>
        <v>#NAME?</v>
      </c>
      <c r="W14" s="482" t="e">
        <f ca="1">_xll.Get_Balance(W3,"YTD","USD","Total","A","","001",$A$3,"GD","ID","DL")</f>
        <v>#NAME?</v>
      </c>
      <c r="X14" s="482" t="e">
        <f ca="1">_xll.Get_Balance(X3,"YTD","USD","Total","A","","001",$A$3,"GD","ID","DL")</f>
        <v>#NAME?</v>
      </c>
      <c r="Y14" s="482" t="e">
        <f ca="1">_xll.Get_Balance(Y3,"YTD","USD","Total","A","","001",$A$3,"GD","ID","DL")</f>
        <v>#NAME?</v>
      </c>
      <c r="Z14" s="482" t="e">
        <f ca="1">_xll.Get_Balance(Z3,"YTD","USD","Total","A","","001",$A$3,"GD","ID","DL")</f>
        <v>#NAME?</v>
      </c>
      <c r="AA14" s="482" t="e">
        <f ca="1">_xll.Get_Balance(AA3,"YTD","USD","Total","A","","001",$A$3,"GD","ID","DL")</f>
        <v>#NAME?</v>
      </c>
      <c r="AB14" s="482" t="e">
        <f ca="1">_xll.Get_Balance(AB3,"YTD","USD","Total","A","","001",$A$3,"GD","ID","DL")</f>
        <v>#NAME?</v>
      </c>
      <c r="AC14" s="482" t="e">
        <f ca="1">_xll.Get_Balance(AC3,"YTD","USD","Total","A","","001",$A$3,"GD","ID","DL")</f>
        <v>#NAME?</v>
      </c>
      <c r="AD14" s="482" t="e">
        <f ca="1">_xll.Get_Balance(AD3,"YTD","USD","Total","A","","001",$A$3,"GD","ID","DL")</f>
        <v>#NAME?</v>
      </c>
      <c r="AE14" s="482" t="e">
        <f ca="1">_xll.Get_Balance(AE3,"YTD","USD","Total","A","","001",$A$3,"GD","ID","DL")</f>
        <v>#NAME?</v>
      </c>
      <c r="AF14" s="482" t="e">
        <f ca="1">_xll.Get_Balance(AF3,"YTD","USD","Total","A","","001",$A$3,"GD","ID","DL")</f>
        <v>#NAME?</v>
      </c>
    </row>
    <row r="15" spans="1:39">
      <c r="B15" s="481" t="s">
        <v>245</v>
      </c>
      <c r="E15" s="482" t="e">
        <f t="shared" ref="E15:H15" ca="1" si="6">E13-E14</f>
        <v>#NAME?</v>
      </c>
      <c r="F15" s="482" t="e">
        <f t="shared" ca="1" si="6"/>
        <v>#NAME?</v>
      </c>
      <c r="G15" s="482" t="e">
        <f t="shared" ca="1" si="6"/>
        <v>#NAME?</v>
      </c>
      <c r="H15" s="482" t="e">
        <f t="shared" ca="1" si="6"/>
        <v>#NAME?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 t="e">
        <f t="shared" ref="S15:T15" ca="1" si="7">S13-S14</f>
        <v>#NAME?</v>
      </c>
      <c r="T15" s="482" t="e">
        <f t="shared" ca="1" si="7"/>
        <v>#NAME?</v>
      </c>
      <c r="U15" s="482" t="e">
        <f ca="1">U13-U14</f>
        <v>#NAME?</v>
      </c>
      <c r="V15" s="482" t="e">
        <f ca="1">V13-V14</f>
        <v>#NAME?</v>
      </c>
      <c r="W15" s="482" t="e">
        <f t="shared" ref="W15:AF15" ca="1" si="8">W13-W14</f>
        <v>#NAME?</v>
      </c>
      <c r="X15" s="482" t="e">
        <f t="shared" ca="1" si="8"/>
        <v>#NAME?</v>
      </c>
      <c r="Y15" s="482" t="e">
        <f t="shared" ca="1" si="8"/>
        <v>#NAME?</v>
      </c>
      <c r="Z15" s="482" t="e">
        <f t="shared" ca="1" si="8"/>
        <v>#NAME?</v>
      </c>
      <c r="AA15" s="482" t="e">
        <f t="shared" ca="1" si="8"/>
        <v>#NAME?</v>
      </c>
      <c r="AB15" s="482" t="e">
        <f t="shared" ca="1" si="8"/>
        <v>#NAME?</v>
      </c>
      <c r="AC15" s="482" t="e">
        <f t="shared" ca="1" si="8"/>
        <v>#NAME?</v>
      </c>
      <c r="AD15" s="482" t="e">
        <f t="shared" ca="1" si="8"/>
        <v>#NAME?</v>
      </c>
      <c r="AE15" s="482" t="e">
        <f t="shared" ca="1" si="8"/>
        <v>#NAME?</v>
      </c>
      <c r="AF15" s="482" t="e">
        <f t="shared" ca="1" si="8"/>
        <v>#NAME?</v>
      </c>
    </row>
    <row r="16" spans="1:39">
      <c r="A16" s="483" t="s">
        <v>271</v>
      </c>
      <c r="U16" s="482" t="s">
        <v>330</v>
      </c>
    </row>
    <row r="17" spans="1:39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I17" s="558"/>
      <c r="AL17" s="482">
        <v>0</v>
      </c>
    </row>
    <row r="18" spans="1:39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9">U18+1</f>
        <v>201502</v>
      </c>
      <c r="W18" s="484">
        <f t="shared" si="9"/>
        <v>201503</v>
      </c>
      <c r="X18" s="484">
        <f t="shared" si="9"/>
        <v>201504</v>
      </c>
      <c r="Y18" s="484">
        <f t="shared" si="9"/>
        <v>201505</v>
      </c>
      <c r="Z18" s="484">
        <f t="shared" si="9"/>
        <v>201506</v>
      </c>
      <c r="AA18" s="484">
        <f t="shared" si="9"/>
        <v>201507</v>
      </c>
      <c r="AB18" s="484">
        <f t="shared" si="9"/>
        <v>201508</v>
      </c>
      <c r="AC18" s="484">
        <f t="shared" si="9"/>
        <v>201509</v>
      </c>
      <c r="AD18" s="484">
        <f t="shared" si="9"/>
        <v>201510</v>
      </c>
      <c r="AE18" s="484">
        <f t="shared" si="9"/>
        <v>201511</v>
      </c>
      <c r="AF18" s="484">
        <f t="shared" si="9"/>
        <v>201512</v>
      </c>
      <c r="AI18" s="558"/>
    </row>
    <row r="19" spans="1:39">
      <c r="A19" s="483"/>
      <c r="B19" s="481" t="s">
        <v>37</v>
      </c>
      <c r="C19" s="491">
        <f>SUM(U19:AF19)</f>
        <v>39097164</v>
      </c>
      <c r="D19" s="491">
        <f>SUM(F19:Q19)</f>
        <v>56675951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f>Jan!$K36</f>
        <v>8991869</v>
      </c>
      <c r="V19" s="491">
        <f>Feb!$K36</f>
        <v>5607449</v>
      </c>
      <c r="W19" s="491">
        <f>Mar!$K36</f>
        <v>5090227</v>
      </c>
      <c r="X19" s="491">
        <f>Apr!$K36</f>
        <v>3621515</v>
      </c>
      <c r="Y19" s="491">
        <f>May!$K36</f>
        <v>1624041</v>
      </c>
      <c r="Z19" s="491">
        <f>Jun!$K36</f>
        <v>985347</v>
      </c>
      <c r="AA19" s="491">
        <f>Jul!$K36</f>
        <v>990038</v>
      </c>
      <c r="AB19" s="491">
        <f>Aug!$K36</f>
        <v>930531</v>
      </c>
      <c r="AC19" s="491">
        <f>Sep!$K36</f>
        <v>1531464</v>
      </c>
      <c r="AD19" s="491">
        <f>Oct!$K36</f>
        <v>2476612</v>
      </c>
      <c r="AE19" s="491">
        <f>Nov!$K36</f>
        <v>7248071</v>
      </c>
      <c r="AF19" s="491">
        <f>Dec!$K36</f>
        <v>0</v>
      </c>
      <c r="AG19" s="491"/>
    </row>
    <row r="20" spans="1:39">
      <c r="A20" s="483"/>
      <c r="B20" s="481" t="s">
        <v>38</v>
      </c>
      <c r="C20" s="491">
        <f t="shared" ref="C20:C24" si="10">SUM(U20:AF20)</f>
        <v>18037646</v>
      </c>
      <c r="D20" s="491">
        <f>SUM(F20:Q20)</f>
        <v>22466066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f>Jan!$K37</f>
        <v>2818068</v>
      </c>
      <c r="V20" s="491">
        <f>Feb!$K37</f>
        <v>2333245</v>
      </c>
      <c r="W20" s="491">
        <f>Mar!$K37</f>
        <v>1927746</v>
      </c>
      <c r="X20" s="491">
        <f>Apr!$K37</f>
        <v>1633221</v>
      </c>
      <c r="Y20" s="491">
        <f>May!$K37</f>
        <v>1075904</v>
      </c>
      <c r="Z20" s="491">
        <f>Jun!$K37</f>
        <v>1089173</v>
      </c>
      <c r="AA20" s="491">
        <f>Jul!$K37</f>
        <v>964252</v>
      </c>
      <c r="AB20" s="491">
        <f>Aug!$K37</f>
        <v>1322423</v>
      </c>
      <c r="AC20" s="491">
        <f>Sep!$K37</f>
        <v>1101192</v>
      </c>
      <c r="AD20" s="491">
        <f>Oct!$K37</f>
        <v>1392647</v>
      </c>
      <c r="AE20" s="491">
        <f>Nov!$K37</f>
        <v>2379775</v>
      </c>
      <c r="AF20" s="491">
        <f>Dec!$K37</f>
        <v>0</v>
      </c>
      <c r="AG20" s="491"/>
    </row>
    <row r="21" spans="1:39" hidden="1">
      <c r="A21" s="483"/>
      <c r="B21" s="481" t="s">
        <v>39</v>
      </c>
      <c r="C21" s="491">
        <f t="shared" si="10"/>
        <v>0</v>
      </c>
      <c r="D21" s="491">
        <f>SUM(G21:R21)</f>
        <v>0</v>
      </c>
      <c r="E21" s="491"/>
      <c r="F21" s="491"/>
      <c r="G21" s="491"/>
      <c r="H21" s="491"/>
    </row>
    <row r="22" spans="1:39" hidden="1">
      <c r="A22" s="483"/>
      <c r="B22" s="481" t="s">
        <v>40</v>
      </c>
      <c r="C22" s="491">
        <f t="shared" si="10"/>
        <v>0</v>
      </c>
      <c r="D22" s="491">
        <f>SUM(G22:R22)</f>
        <v>0</v>
      </c>
      <c r="E22" s="491"/>
      <c r="F22" s="491"/>
      <c r="G22" s="491"/>
      <c r="H22" s="491"/>
    </row>
    <row r="23" spans="1:39" hidden="1">
      <c r="A23" s="483"/>
      <c r="B23" s="481" t="s">
        <v>41</v>
      </c>
      <c r="C23" s="491">
        <f t="shared" si="10"/>
        <v>0</v>
      </c>
      <c r="D23" s="491">
        <f>SUM(G23:R23)</f>
        <v>0</v>
      </c>
      <c r="E23" s="491"/>
      <c r="F23" s="491"/>
      <c r="G23" s="491"/>
      <c r="H23" s="491"/>
    </row>
    <row r="24" spans="1:39">
      <c r="A24" s="483"/>
      <c r="B24" s="481" t="s">
        <v>42</v>
      </c>
      <c r="C24" s="491">
        <f t="shared" si="10"/>
        <v>0</v>
      </c>
      <c r="D24" s="491">
        <f>SUM(F24:Q24)</f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f>Jan!$K41</f>
        <v>0</v>
      </c>
      <c r="V24" s="491">
        <f>Feb!$K41</f>
        <v>0</v>
      </c>
      <c r="W24" s="491">
        <f>Mar!$K41</f>
        <v>0</v>
      </c>
      <c r="X24" s="491">
        <f>Apr!$K41</f>
        <v>0</v>
      </c>
      <c r="Y24" s="491">
        <f>May!$K41</f>
        <v>0</v>
      </c>
      <c r="Z24" s="491">
        <f>Jun!$K41</f>
        <v>0</v>
      </c>
      <c r="AA24" s="491">
        <f>Jul!$K41</f>
        <v>0</v>
      </c>
      <c r="AB24" s="491">
        <f>Aug!$K41</f>
        <v>0</v>
      </c>
      <c r="AC24" s="491">
        <f>Sep!$K41</f>
        <v>0</v>
      </c>
      <c r="AD24" s="491">
        <f>Oct!$K41</f>
        <v>0</v>
      </c>
      <c r="AE24" s="491">
        <f>Nov!$K41</f>
        <v>0</v>
      </c>
      <c r="AF24" s="491">
        <f>Dec!$K41</f>
        <v>0</v>
      </c>
      <c r="AG24" s="491"/>
    </row>
    <row r="25" spans="1:39" hidden="1">
      <c r="A25" s="483"/>
      <c r="B25" s="481" t="s">
        <v>43</v>
      </c>
      <c r="C25" s="491">
        <f t="shared" ref="C25:C26" si="11">SUM(I25:T25)</f>
        <v>0</v>
      </c>
      <c r="D25" s="491">
        <f>SUM(G25:R25)</f>
        <v>0</v>
      </c>
      <c r="E25" s="491"/>
      <c r="F25" s="491"/>
      <c r="G25" s="491"/>
      <c r="H25" s="491"/>
    </row>
    <row r="26" spans="1:39" hidden="1">
      <c r="A26" s="483"/>
      <c r="B26" s="481" t="s">
        <v>74</v>
      </c>
      <c r="C26" s="491">
        <f t="shared" si="11"/>
        <v>0</v>
      </c>
      <c r="D26" s="491">
        <f>SUM(G26:R26)</f>
        <v>0</v>
      </c>
      <c r="E26" s="491"/>
      <c r="F26" s="491"/>
      <c r="G26" s="491"/>
      <c r="H26" s="491"/>
    </row>
    <row r="27" spans="1:39" ht="16" thickBot="1">
      <c r="A27" s="483"/>
      <c r="B27" s="481" t="s">
        <v>21</v>
      </c>
      <c r="C27" s="542">
        <f>SUM(U27:AF27)</f>
        <v>57134810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2">SUM(G19:G26)</f>
        <v>9508099</v>
      </c>
      <c r="H27" s="542">
        <f t="shared" si="12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F27" si="13">SUM(U19:U26)</f>
        <v>11809937</v>
      </c>
      <c r="V27" s="542">
        <f t="shared" si="13"/>
        <v>7940694</v>
      </c>
      <c r="W27" s="542">
        <f t="shared" si="13"/>
        <v>7017973</v>
      </c>
      <c r="X27" s="542">
        <f t="shared" si="13"/>
        <v>5254736</v>
      </c>
      <c r="Y27" s="542">
        <f t="shared" si="13"/>
        <v>2699945</v>
      </c>
      <c r="Z27" s="542">
        <f t="shared" si="13"/>
        <v>2074520</v>
      </c>
      <c r="AA27" s="542">
        <f t="shared" si="13"/>
        <v>1954290</v>
      </c>
      <c r="AB27" s="542">
        <f t="shared" si="13"/>
        <v>2252954</v>
      </c>
      <c r="AC27" s="542">
        <f t="shared" si="13"/>
        <v>2632656</v>
      </c>
      <c r="AD27" s="542">
        <f t="shared" si="13"/>
        <v>3869259</v>
      </c>
      <c r="AE27" s="542">
        <f t="shared" si="13"/>
        <v>9627846</v>
      </c>
      <c r="AF27" s="542">
        <f t="shared" si="13"/>
        <v>0</v>
      </c>
    </row>
    <row r="28" spans="1:39" ht="16" thickTop="1">
      <c r="A28" s="483"/>
      <c r="B28" s="481" t="s">
        <v>269</v>
      </c>
      <c r="C28" s="491">
        <f>SUM(U28:AF28)</f>
        <v>38752095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/>
      <c r="AC28" s="543"/>
      <c r="AD28" s="543"/>
      <c r="AE28" s="543"/>
      <c r="AF28" s="543"/>
    </row>
    <row r="29" spans="1:39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</row>
    <row r="30" spans="1:39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4">U30+1</f>
        <v>201502</v>
      </c>
      <c r="W30" s="484">
        <f t="shared" si="14"/>
        <v>201503</v>
      </c>
      <c r="X30" s="484">
        <f t="shared" si="14"/>
        <v>201504</v>
      </c>
      <c r="Y30" s="484">
        <f t="shared" si="14"/>
        <v>201505</v>
      </c>
      <c r="Z30" s="484">
        <f t="shared" si="14"/>
        <v>201506</v>
      </c>
      <c r="AA30" s="484">
        <f t="shared" si="14"/>
        <v>201507</v>
      </c>
      <c r="AB30" s="484">
        <f t="shared" si="14"/>
        <v>201508</v>
      </c>
      <c r="AC30" s="484">
        <f t="shared" si="14"/>
        <v>201509</v>
      </c>
      <c r="AD30" s="484">
        <f t="shared" si="14"/>
        <v>201510</v>
      </c>
      <c r="AE30" s="484">
        <f t="shared" si="14"/>
        <v>201511</v>
      </c>
      <c r="AF30" s="484">
        <f t="shared" si="14"/>
        <v>201512</v>
      </c>
    </row>
    <row r="31" spans="1:39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270</v>
      </c>
      <c r="AF31" s="492" t="s">
        <v>270</v>
      </c>
      <c r="AH31" s="707"/>
      <c r="AI31" s="708"/>
      <c r="AJ31" s="708"/>
      <c r="AK31" s="708"/>
      <c r="AL31" s="708"/>
      <c r="AM31" s="564"/>
    </row>
    <row r="32" spans="1:39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270</v>
      </c>
      <c r="AF32" s="492" t="s">
        <v>270</v>
      </c>
      <c r="AH32" s="708"/>
      <c r="AI32" s="708"/>
      <c r="AJ32" s="708"/>
      <c r="AK32" s="708"/>
      <c r="AL32" s="708"/>
    </row>
    <row r="33" spans="1:39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H33" s="708"/>
      <c r="AI33" s="708"/>
      <c r="AJ33" s="708"/>
      <c r="AK33" s="708"/>
      <c r="AL33" s="708"/>
    </row>
    <row r="34" spans="1:39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H34" s="708"/>
      <c r="AI34" s="708"/>
      <c r="AJ34" s="708"/>
      <c r="AK34" s="708"/>
      <c r="AL34" s="708"/>
    </row>
    <row r="35" spans="1:39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H35" s="708"/>
      <c r="AI35" s="708"/>
      <c r="AJ35" s="708"/>
      <c r="AK35" s="708"/>
      <c r="AL35" s="708"/>
    </row>
    <row r="36" spans="1:39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270</v>
      </c>
      <c r="AF36" s="492" t="s">
        <v>270</v>
      </c>
      <c r="AH36" s="708"/>
      <c r="AI36" s="708"/>
      <c r="AJ36" s="708"/>
      <c r="AK36" s="708"/>
      <c r="AL36" s="708"/>
    </row>
    <row r="37" spans="1:39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</row>
    <row r="38" spans="1:39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</row>
    <row r="39" spans="1:39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H39" s="564"/>
    </row>
    <row r="40" spans="1:39" s="483" customFormat="1" ht="16" thickBot="1">
      <c r="A40" s="536">
        <v>191000</v>
      </c>
      <c r="B40" s="485" t="s">
        <v>256</v>
      </c>
      <c r="C40" s="486" t="s">
        <v>251</v>
      </c>
      <c r="D40" s="686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5">U40+1</f>
        <v>201502</v>
      </c>
      <c r="W40" s="484">
        <f t="shared" si="15"/>
        <v>201503</v>
      </c>
      <c r="X40" s="484">
        <f t="shared" si="15"/>
        <v>201504</v>
      </c>
      <c r="Y40" s="484">
        <f t="shared" si="15"/>
        <v>201505</v>
      </c>
      <c r="Z40" s="484">
        <f t="shared" si="15"/>
        <v>201506</v>
      </c>
      <c r="AA40" s="484">
        <f t="shared" si="15"/>
        <v>201507</v>
      </c>
      <c r="AB40" s="484">
        <f t="shared" si="15"/>
        <v>201508</v>
      </c>
      <c r="AC40" s="484">
        <f t="shared" si="15"/>
        <v>201509</v>
      </c>
      <c r="AD40" s="484">
        <f t="shared" si="15"/>
        <v>201510</v>
      </c>
      <c r="AE40" s="484">
        <f t="shared" si="15"/>
        <v>201511</v>
      </c>
      <c r="AF40" s="484">
        <f t="shared" si="15"/>
        <v>201512</v>
      </c>
      <c r="AH40" s="564"/>
      <c r="AI40" s="484"/>
    </row>
    <row r="41" spans="1:39" s="483" customFormat="1" ht="16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H41" s="513">
        <f>AH4</f>
        <v>201507</v>
      </c>
      <c r="AI41" s="526"/>
      <c r="AJ41" s="514"/>
      <c r="AK41" s="514"/>
      <c r="AL41" s="514"/>
      <c r="AM41" s="515"/>
    </row>
    <row r="42" spans="1:39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f>T47</f>
        <v>-1737468.3702166961</v>
      </c>
      <c r="V42" s="482">
        <f>U47</f>
        <v>-1379625.346046696</v>
      </c>
      <c r="W42" s="482">
        <f t="shared" ref="W42:AE42" si="16">V47</f>
        <v>-1139196.8415066958</v>
      </c>
      <c r="X42" s="482">
        <f t="shared" si="16"/>
        <v>-927936.74257669575</v>
      </c>
      <c r="Y42" s="482">
        <f t="shared" si="16"/>
        <v>-767403.9580847763</v>
      </c>
      <c r="Z42" s="482">
        <f t="shared" si="16"/>
        <v>-685903.92338007619</v>
      </c>
      <c r="AA42" s="482">
        <f t="shared" si="16"/>
        <v>-623363.07088572613</v>
      </c>
      <c r="AB42" s="482">
        <f t="shared" si="16"/>
        <v>-564427.81872858922</v>
      </c>
      <c r="AC42" s="482">
        <f t="shared" si="16"/>
        <v>-496357.29729955469</v>
      </c>
      <c r="AD42" s="482">
        <f t="shared" si="16"/>
        <v>-416678.50147523766</v>
      </c>
      <c r="AE42" s="482">
        <f t="shared" si="16"/>
        <v>-299312.54063388787</v>
      </c>
      <c r="AF42" s="482">
        <f>AE47</f>
        <v>-299561.96775108279</v>
      </c>
      <c r="AH42" s="497" t="s">
        <v>308</v>
      </c>
      <c r="AI42" s="527">
        <v>419600</v>
      </c>
      <c r="AJ42" s="498" t="s">
        <v>288</v>
      </c>
      <c r="AK42" s="498" t="s">
        <v>291</v>
      </c>
      <c r="AL42" s="519">
        <v>0</v>
      </c>
      <c r="AM42" s="520">
        <f>IF(SUMIF(U40:AF40,AH41,U44:AF44)&gt;0,SUMIF(U40:AF40,AH41,U44:AF44),0)</f>
        <v>0</v>
      </c>
    </row>
    <row r="43" spans="1:39">
      <c r="B43" s="481" t="s">
        <v>23</v>
      </c>
      <c r="C43" s="482">
        <f>SUM(U43:AF43)</f>
        <v>1444686.7752400001</v>
      </c>
      <c r="D43" s="491">
        <f>SUM(F43:Q43)</f>
        <v>-10808.645800000002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17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Z43" si="18">SUMPRODUCT(V19:V26,V31:V38)</f>
        <v>241476.50453999999</v>
      </c>
      <c r="W43" s="482">
        <f t="shared" si="18"/>
        <v>213416.55893</v>
      </c>
      <c r="X43" s="482">
        <f t="shared" si="18"/>
        <v>159796.52176</v>
      </c>
      <c r="Y43" s="482">
        <f t="shared" si="18"/>
        <v>82105.327449999997</v>
      </c>
      <c r="Z43" s="482">
        <f t="shared" si="18"/>
        <v>63086.153200000001</v>
      </c>
      <c r="AA43" s="482">
        <f>SUMPRODUCT(AA19:AA26,AA31:AA38)</f>
        <v>59429.958899999998</v>
      </c>
      <c r="AB43" s="482">
        <f t="shared" ref="AB43:AD43" si="19">SUMPRODUCT(AB19:AB26,AB31:AB38)</f>
        <v>68512.331139999995</v>
      </c>
      <c r="AC43" s="482">
        <f t="shared" si="19"/>
        <v>80059.068960000004</v>
      </c>
      <c r="AD43" s="482">
        <f t="shared" si="19"/>
        <v>117664.16618999999</v>
      </c>
      <c r="AE43" s="563"/>
      <c r="AF43" s="563"/>
      <c r="AH43" s="499" t="s">
        <v>309</v>
      </c>
      <c r="AI43" s="528">
        <v>431600</v>
      </c>
      <c r="AJ43" s="358" t="s">
        <v>288</v>
      </c>
      <c r="AK43" s="358" t="s">
        <v>291</v>
      </c>
      <c r="AL43" s="381">
        <f>IF(SUMIF(U40:AF40,AH41,U44:AF44)&lt;0,-SUMIF(U40:AF40,AH41,U44:AF44),0)</f>
        <v>494.70674286310515</v>
      </c>
      <c r="AM43" s="500">
        <v>0</v>
      </c>
    </row>
    <row r="44" spans="1:39">
      <c r="B44" s="481" t="s">
        <v>4</v>
      </c>
      <c r="C44" s="482">
        <f t="shared" ref="C44:C46" si="20">SUM(U44:AF44)</f>
        <v>-7174.6277475130237</v>
      </c>
      <c r="D44" s="491">
        <f>SUM(F44:Q44)</f>
        <v>1068.3629816064952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f>(((X42+X46)*(X41/12))+((X43/2)*(X41/12)))</f>
        <v>-705.49726808057983</v>
      </c>
      <c r="Y44" s="489">
        <f t="shared" ref="Y44:AD44" si="21">((Y42*(Y41/12))+((Y43/2)*(Y41/12)))</f>
        <v>-605.29274529981353</v>
      </c>
      <c r="Z44" s="489">
        <f t="shared" si="21"/>
        <v>-545.30070565006349</v>
      </c>
      <c r="AA44" s="489">
        <f t="shared" si="21"/>
        <v>-494.70674286310515</v>
      </c>
      <c r="AB44" s="489">
        <f t="shared" si="21"/>
        <v>-441.80971096549104</v>
      </c>
      <c r="AC44" s="489">
        <f t="shared" si="21"/>
        <v>-380.27313568296228</v>
      </c>
      <c r="AD44" s="489">
        <f t="shared" si="21"/>
        <v>-298.20534865019806</v>
      </c>
      <c r="AE44" s="560">
        <f>((AE42+AE45)*(AE41/12))+(((AE43+AE46)/2)*(AE41/12))</f>
        <v>-249.42711719490657</v>
      </c>
      <c r="AF44" s="560">
        <f t="shared" ref="AF44" si="22">((AF42*(AF41/12))+((AF43/2)*(AF41/12)))</f>
        <v>-249.63497312590235</v>
      </c>
      <c r="AH44" s="499" t="s">
        <v>310</v>
      </c>
      <c r="AI44" s="528">
        <v>191000</v>
      </c>
      <c r="AJ44" s="358" t="s">
        <v>288</v>
      </c>
      <c r="AK44" s="358" t="s">
        <v>291</v>
      </c>
      <c r="AL44" s="381">
        <f>IF((SUMIF(U40:AF40,AH41,U43:AF43)+SUMIF(U40:AF40,AH41,U44:AF44))&gt;0,(SUMIF(U40:AF40,AH41,U43:AF43)+SUMIF(U40:AF40,AH41,U44:AF44)),0)</f>
        <v>58935.252157136892</v>
      </c>
      <c r="AM44" s="500">
        <f>IF((SUMIF(U40:AF40,AH41,U43:AF43)+SUMIF(U40:AF40,AH41,U44:AF44))&lt;0,-(SUMIF(U40:AF40,AH41,U43:AF43)+SUMIF(U40:AF40,AH41,U44:AF44)),0)</f>
        <v>0</v>
      </c>
    </row>
    <row r="45" spans="1:39">
      <c r="B45" s="481" t="s">
        <v>259</v>
      </c>
      <c r="C45" s="482">
        <f t="shared" si="20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63">
        <f>-AE9-AE10-AE11</f>
        <v>0</v>
      </c>
      <c r="AF45" s="563">
        <v>0</v>
      </c>
      <c r="AH45" s="499" t="s">
        <v>311</v>
      </c>
      <c r="AI45" s="528">
        <v>805110</v>
      </c>
      <c r="AJ45" s="358" t="s">
        <v>288</v>
      </c>
      <c r="AK45" s="358" t="s">
        <v>291</v>
      </c>
      <c r="AL45" s="381">
        <f>IF((SUMIF(U40:AF40,AH41,U43:AF43))&lt;0,-(SUMIF(U40:AF40,AH41,U43:AF43)),0)</f>
        <v>0</v>
      </c>
      <c r="AM45" s="500">
        <f>IF((SUMIF(U40:AF40,AH41,U43:AF43))&gt;0,(SUMIF(U40:AF40,AH41,U43:AF43)),0)</f>
        <v>59429.958899999998</v>
      </c>
    </row>
    <row r="46" spans="1:39">
      <c r="B46" s="481" t="s">
        <v>148</v>
      </c>
      <c r="C46" s="482">
        <f t="shared" si="20"/>
        <v>144.61999999999989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63"/>
      <c r="AF46" s="563">
        <f>-AE46*2</f>
        <v>0</v>
      </c>
      <c r="AH46" s="499" t="s">
        <v>156</v>
      </c>
      <c r="AI46" s="528">
        <f t="shared" ref="AI46:AK47" si="23">AI44</f>
        <v>191000</v>
      </c>
      <c r="AJ46" s="528" t="str">
        <f t="shared" si="23"/>
        <v>GD</v>
      </c>
      <c r="AK46" s="528" t="str">
        <f t="shared" si="23"/>
        <v>ID</v>
      </c>
      <c r="AL46" s="381">
        <v>0</v>
      </c>
      <c r="AM46" s="500"/>
    </row>
    <row r="47" spans="1:39" ht="16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24">SUM(F42:F46)</f>
        <v>122203.74560073584</v>
      </c>
      <c r="G47" s="541">
        <f t="shared" si="24"/>
        <v>121907.05607206978</v>
      </c>
      <c r="H47" s="541">
        <f t="shared" si="24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F47" si="25">SUM(V42:V46)</f>
        <v>-1139196.8415066958</v>
      </c>
      <c r="W47" s="541">
        <f t="shared" si="25"/>
        <v>-927936.74257669575</v>
      </c>
      <c r="X47" s="541">
        <f t="shared" si="25"/>
        <v>-767403.9580847763</v>
      </c>
      <c r="Y47" s="541">
        <f t="shared" si="25"/>
        <v>-685903.92338007619</v>
      </c>
      <c r="Z47" s="541">
        <f t="shared" si="25"/>
        <v>-623363.07088572613</v>
      </c>
      <c r="AA47" s="541">
        <f t="shared" si="25"/>
        <v>-564427.81872858922</v>
      </c>
      <c r="AB47" s="541">
        <f t="shared" si="25"/>
        <v>-496357.29729955469</v>
      </c>
      <c r="AC47" s="541">
        <f t="shared" si="25"/>
        <v>-416678.50147523766</v>
      </c>
      <c r="AD47" s="541">
        <f t="shared" si="25"/>
        <v>-299312.54063388787</v>
      </c>
      <c r="AE47" s="541">
        <f t="shared" si="25"/>
        <v>-299561.96775108279</v>
      </c>
      <c r="AF47" s="541">
        <f t="shared" si="25"/>
        <v>-299811.60272420867</v>
      </c>
      <c r="AH47" s="501" t="str">
        <f>AH46</f>
        <v>Large Customer Refund</v>
      </c>
      <c r="AI47" s="529">
        <f t="shared" si="23"/>
        <v>805110</v>
      </c>
      <c r="AJ47" s="529" t="str">
        <f t="shared" si="23"/>
        <v>GD</v>
      </c>
      <c r="AK47" s="529" t="str">
        <f t="shared" si="23"/>
        <v>ID</v>
      </c>
      <c r="AL47" s="503"/>
      <c r="AM47" s="521">
        <v>0</v>
      </c>
    </row>
    <row r="48" spans="1:39" ht="16.5" thickTop="1" thickBot="1">
      <c r="B48" s="481" t="s">
        <v>260</v>
      </c>
      <c r="E48" s="482" t="e">
        <f ca="1">_xll.Get_Balance(E40,"YTD","USD","Total","A","","001",$A$40,"GD","ID","DL")</f>
        <v>#NAME?</v>
      </c>
      <c r="F48" s="482" t="e">
        <f ca="1">_xll.Get_Balance(F40,"YTD","USD","Total","A","","001",$A$40,"GD","ID","DL")</f>
        <v>#NAME?</v>
      </c>
      <c r="G48" s="482" t="e">
        <f ca="1">_xll.Get_Balance(G40,"YTD","USD","Total","A","","001",$A$40,"GD","ID","DL")</f>
        <v>#NAME?</v>
      </c>
      <c r="H48" s="482" t="e">
        <f ca="1">_xll.Get_Balance(H40,"YTD","USD","Total","A","","001",$A$40,"GD","ID","DL")</f>
        <v>#NAME?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 t="e">
        <f ca="1">_xll.Get_Balance(S40,"YTD","USD","Total","A","","001",$A$40,"GD","ID","DL")</f>
        <v>#NAME?</v>
      </c>
      <c r="T48" s="482" t="e">
        <f ca="1">_xll.Get_Balance(T40,"YTD","USD","Total","A","","001",$A$40,"GD","ID","DL")</f>
        <v>#NAME?</v>
      </c>
      <c r="U48" s="482" t="e">
        <f ca="1">_xll.Get_Balance(U40,"YTD","USD","Total","A","","001",$A$40,"GD","ID","DL")</f>
        <v>#NAME?</v>
      </c>
      <c r="V48" s="482" t="e">
        <f ca="1">_xll.Get_Balance(V40,"YTD","USD","Total","A","","001",$A$40,"GD","ID","DL")</f>
        <v>#NAME?</v>
      </c>
      <c r="W48" s="482" t="e">
        <f ca="1">_xll.Get_Balance(W40,"YTD","USD","Total","A","","001",$A$40,"GD","ID","DL")</f>
        <v>#NAME?</v>
      </c>
      <c r="X48" s="482" t="e">
        <f ca="1">_xll.Get_Balance(X40,"YTD","USD","Total","A","","001",$A$40,"GD","ID","DL")</f>
        <v>#NAME?</v>
      </c>
      <c r="Y48" s="482" t="e">
        <f ca="1">_xll.Get_Balance(Y40,"YTD","USD","Total","A","","001",$A$40,"GD","ID","DL")</f>
        <v>#NAME?</v>
      </c>
      <c r="Z48" s="482" t="e">
        <f ca="1">_xll.Get_Balance(Z40,"YTD","USD","Total","A","","001",$A$40,"GD","ID","DL")</f>
        <v>#NAME?</v>
      </c>
      <c r="AA48" s="482" t="e">
        <f ca="1">_xll.Get_Balance(AA40,"YTD","USD","Total","A","","001",$A$40,"GD","ID","DL")</f>
        <v>#NAME?</v>
      </c>
      <c r="AB48" s="482" t="e">
        <f ca="1">_xll.Get_Balance(AB40,"YTD","USD","Total","A","","001",$A$40,"GD","ID","DL")</f>
        <v>#NAME?</v>
      </c>
      <c r="AC48" s="482" t="e">
        <f ca="1">_xll.Get_Balance(AC40,"YTD","USD","Total","A","","001",$A$40,"GD","ID","DL")</f>
        <v>#NAME?</v>
      </c>
      <c r="AD48" s="482" t="e">
        <f ca="1">_xll.Get_Balance(AD40,"YTD","USD","Total","A","","001",$A$40,"GD","ID","DL")</f>
        <v>#NAME?</v>
      </c>
      <c r="AE48" s="482" t="e">
        <f ca="1">_xll.Get_Balance(AE40,"YTD","USD","Total","A","","001",$A$40,"GD","ID","DL")</f>
        <v>#NAME?</v>
      </c>
      <c r="AF48" s="482" t="e">
        <f ca="1">_xll.Get_Balance(AF40,"YTD","USD","Total","A","","001",$A$40,"GD","ID","DL")</f>
        <v>#NAME?</v>
      </c>
      <c r="AH48" s="516"/>
      <c r="AI48" s="530"/>
      <c r="AJ48" s="517"/>
      <c r="AK48" s="517"/>
      <c r="AL48" s="517" t="s">
        <v>159</v>
      </c>
      <c r="AM48" s="518">
        <f>SUM(AL42:AL47)-SUM(AM42:AM47)</f>
        <v>0</v>
      </c>
    </row>
    <row r="49" spans="1:33">
      <c r="B49" s="481" t="s">
        <v>245</v>
      </c>
      <c r="E49" s="482" t="e">
        <f t="shared" ref="E49:H49" ca="1" si="26">E47-E48</f>
        <v>#NAME?</v>
      </c>
      <c r="F49" s="482" t="e">
        <f t="shared" ca="1" si="26"/>
        <v>#NAME?</v>
      </c>
      <c r="G49" s="482" t="e">
        <f t="shared" ca="1" si="26"/>
        <v>#NAME?</v>
      </c>
      <c r="H49" s="482" t="e">
        <f t="shared" ca="1" si="26"/>
        <v>#NAME?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 t="e">
        <f ca="1">S47-S48</f>
        <v>#NAME?</v>
      </c>
      <c r="T49" s="482" t="e">
        <f ca="1">T47-T48</f>
        <v>#NAME?</v>
      </c>
      <c r="U49" s="482" t="e">
        <f ca="1">U47-U48</f>
        <v>#NAME?</v>
      </c>
      <c r="V49" s="482" t="e">
        <f t="shared" ref="V49:AG49" ca="1" si="27">V47-V48</f>
        <v>#NAME?</v>
      </c>
      <c r="W49" s="482" t="e">
        <f t="shared" ca="1" si="27"/>
        <v>#NAME?</v>
      </c>
      <c r="X49" s="482" t="e">
        <f t="shared" ca="1" si="27"/>
        <v>#NAME?</v>
      </c>
      <c r="Y49" s="482" t="e">
        <f t="shared" ca="1" si="27"/>
        <v>#NAME?</v>
      </c>
      <c r="Z49" s="482" t="e">
        <f t="shared" ca="1" si="27"/>
        <v>#NAME?</v>
      </c>
      <c r="AA49" s="482" t="e">
        <f t="shared" ca="1" si="27"/>
        <v>#NAME?</v>
      </c>
      <c r="AB49" s="482" t="e">
        <f t="shared" ca="1" si="27"/>
        <v>#NAME?</v>
      </c>
      <c r="AC49" s="482" t="e">
        <f t="shared" ca="1" si="27"/>
        <v>#NAME?</v>
      </c>
      <c r="AD49" s="482" t="e">
        <f t="shared" ca="1" si="27"/>
        <v>#NAME?</v>
      </c>
      <c r="AE49" s="482" t="e">
        <f t="shared" ca="1" si="27"/>
        <v>#NAME?</v>
      </c>
      <c r="AF49" s="482" t="e">
        <f t="shared" ca="1" si="27"/>
        <v>#NAME?</v>
      </c>
      <c r="AG49" s="482">
        <f t="shared" si="27"/>
        <v>0</v>
      </c>
    </row>
    <row r="50" spans="1:33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</row>
    <row r="51" spans="1:33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28">U51+1</f>
        <v>201502</v>
      </c>
      <c r="W51" s="484">
        <f t="shared" si="28"/>
        <v>201503</v>
      </c>
      <c r="X51" s="484">
        <f t="shared" si="28"/>
        <v>201504</v>
      </c>
      <c r="Y51" s="484">
        <f t="shared" si="28"/>
        <v>201505</v>
      </c>
      <c r="Z51" s="484">
        <f t="shared" si="28"/>
        <v>201506</v>
      </c>
      <c r="AA51" s="484">
        <f t="shared" si="28"/>
        <v>201507</v>
      </c>
      <c r="AB51" s="484">
        <f t="shared" si="28"/>
        <v>201508</v>
      </c>
      <c r="AC51" s="484">
        <f t="shared" si="28"/>
        <v>201509</v>
      </c>
      <c r="AD51" s="484">
        <f t="shared" si="28"/>
        <v>201510</v>
      </c>
      <c r="AE51" s="484">
        <f t="shared" si="28"/>
        <v>201511</v>
      </c>
      <c r="AF51" s="484">
        <f t="shared" si="28"/>
        <v>201512</v>
      </c>
    </row>
    <row r="52" spans="1:33">
      <c r="A52" s="483"/>
      <c r="B52" s="481" t="s">
        <v>37</v>
      </c>
      <c r="C52" s="491">
        <f>SUM(U52:AF52)</f>
        <v>39097164</v>
      </c>
      <c r="D52" s="491">
        <f>SUM(F52:Q52)</f>
        <v>52384687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f>Jan!$K36</f>
        <v>8991869</v>
      </c>
      <c r="V52" s="491">
        <f>Feb!$K36</f>
        <v>5607449</v>
      </c>
      <c r="W52" s="491">
        <f>Mar!$K36</f>
        <v>5090227</v>
      </c>
      <c r="X52" s="491">
        <f>Apr!$K36</f>
        <v>3621515</v>
      </c>
      <c r="Y52" s="491">
        <f>May!$K36</f>
        <v>1624041</v>
      </c>
      <c r="Z52" s="491">
        <f>Jun!$K36</f>
        <v>985347</v>
      </c>
      <c r="AA52" s="491">
        <f>Jul!$K36</f>
        <v>990038</v>
      </c>
      <c r="AB52" s="491">
        <f>Aug!$K36</f>
        <v>930531</v>
      </c>
      <c r="AC52" s="491">
        <f>Sep!$K36</f>
        <v>1531464</v>
      </c>
      <c r="AD52" s="491">
        <f>Oct!$K36</f>
        <v>2476612</v>
      </c>
      <c r="AE52" s="491">
        <f>Nov!$K36</f>
        <v>7248071</v>
      </c>
      <c r="AF52" s="491">
        <f>Dec!$K36</f>
        <v>0</v>
      </c>
      <c r="AG52" s="491">
        <f>Jan!$K36</f>
        <v>8991869</v>
      </c>
    </row>
    <row r="53" spans="1:33">
      <c r="A53" s="483"/>
      <c r="B53" s="481" t="s">
        <v>38</v>
      </c>
      <c r="C53" s="491">
        <f t="shared" ref="C53:C60" si="29">SUM(U53:AF53)</f>
        <v>18037646</v>
      </c>
      <c r="D53" s="491">
        <f>SUM(F53:Q53)</f>
        <v>20863784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f>Jan!$K37</f>
        <v>2818068</v>
      </c>
      <c r="V53" s="491">
        <f>Feb!$K37</f>
        <v>2333245</v>
      </c>
      <c r="W53" s="491">
        <f>Mar!$K37</f>
        <v>1927746</v>
      </c>
      <c r="X53" s="491">
        <f>Apr!$K37</f>
        <v>1633221</v>
      </c>
      <c r="Y53" s="491">
        <f>May!$K37</f>
        <v>1075904</v>
      </c>
      <c r="Z53" s="491">
        <f>Jun!$K37</f>
        <v>1089173</v>
      </c>
      <c r="AA53" s="491">
        <f>Jul!$K37</f>
        <v>964252</v>
      </c>
      <c r="AB53" s="491">
        <f>Aug!$K37</f>
        <v>1322423</v>
      </c>
      <c r="AC53" s="491">
        <f>Sep!$K37</f>
        <v>1101192</v>
      </c>
      <c r="AD53" s="491">
        <f>Oct!$K37</f>
        <v>1392647</v>
      </c>
      <c r="AE53" s="491">
        <f>Nov!$K37</f>
        <v>2379775</v>
      </c>
      <c r="AF53" s="491">
        <f>Dec!$K37</f>
        <v>0</v>
      </c>
      <c r="AG53" s="491">
        <f>Jan!$K37</f>
        <v>2818068</v>
      </c>
    </row>
    <row r="54" spans="1:33">
      <c r="A54" s="483"/>
      <c r="B54" s="481" t="s">
        <v>39</v>
      </c>
      <c r="C54" s="491">
        <f t="shared" si="29"/>
        <v>246353</v>
      </c>
      <c r="D54" s="491">
        <f>SUM(F54:Q54)</f>
        <v>216282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f>Jan!$K38</f>
        <v>2994</v>
      </c>
      <c r="V54" s="491">
        <f>Feb!$K38</f>
        <v>1973</v>
      </c>
      <c r="W54" s="491">
        <f>Mar!$K38</f>
        <v>871</v>
      </c>
      <c r="X54" s="491">
        <f>Apr!$K38</f>
        <v>5610</v>
      </c>
      <c r="Y54" s="491">
        <f>May!$K38</f>
        <v>18173</v>
      </c>
      <c r="Z54" s="491">
        <f>Jun!$K38</f>
        <v>21920</v>
      </c>
      <c r="AA54" s="491">
        <f>Jul!$K38</f>
        <v>28026</v>
      </c>
      <c r="AB54" s="491">
        <f>Aug!$K38</f>
        <v>47622</v>
      </c>
      <c r="AC54" s="491">
        <f>Sep!$K38</f>
        <v>26734</v>
      </c>
      <c r="AD54" s="491">
        <f>Oct!$K38</f>
        <v>68934</v>
      </c>
      <c r="AE54" s="491">
        <f>Nov!$K38</f>
        <v>23496</v>
      </c>
      <c r="AF54" s="491">
        <f>Dec!$K38</f>
        <v>0</v>
      </c>
      <c r="AG54" s="491">
        <f>Jan!$K38</f>
        <v>2994</v>
      </c>
    </row>
    <row r="55" spans="1:33">
      <c r="A55" s="483"/>
      <c r="B55" s="481" t="s">
        <v>40</v>
      </c>
      <c r="C55" s="491">
        <f t="shared" si="29"/>
        <v>0</v>
      </c>
      <c r="D55" s="491">
        <f>SUM(F55:Q55)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f>Jan!$K39</f>
        <v>0</v>
      </c>
      <c r="V55" s="491">
        <f>Feb!$K39</f>
        <v>0</v>
      </c>
      <c r="W55" s="491">
        <f>Mar!$K39</f>
        <v>0</v>
      </c>
      <c r="X55" s="491">
        <f>Apr!$K39</f>
        <v>0</v>
      </c>
      <c r="Y55" s="491">
        <f>May!$K39</f>
        <v>0</v>
      </c>
      <c r="Z55" s="491">
        <f>Jun!$K39</f>
        <v>0</v>
      </c>
      <c r="AA55" s="491">
        <f>Jul!$K39</f>
        <v>0</v>
      </c>
      <c r="AB55" s="491">
        <f>Aug!$K39</f>
        <v>0</v>
      </c>
      <c r="AC55" s="491">
        <f>Sep!$K39</f>
        <v>0</v>
      </c>
      <c r="AD55" s="491">
        <f>Oct!$K39</f>
        <v>0</v>
      </c>
      <c r="AE55" s="491">
        <f>Nov!$K39</f>
        <v>0</v>
      </c>
      <c r="AF55" s="491">
        <f>Dec!$K39</f>
        <v>0</v>
      </c>
      <c r="AG55" s="491">
        <f>Jan!$K39</f>
        <v>0</v>
      </c>
    </row>
    <row r="56" spans="1:33" hidden="1">
      <c r="A56" s="483"/>
      <c r="B56" s="481" t="s">
        <v>41</v>
      </c>
      <c r="C56" s="491">
        <f t="shared" si="29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</row>
    <row r="57" spans="1:33" hidden="1">
      <c r="A57" s="483"/>
      <c r="B57" s="481" t="s">
        <v>42</v>
      </c>
      <c r="C57" s="491">
        <f t="shared" si="29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</row>
    <row r="58" spans="1:33">
      <c r="A58" s="483"/>
      <c r="B58" s="481" t="s">
        <v>43</v>
      </c>
      <c r="C58" s="491">
        <f t="shared" si="29"/>
        <v>148273</v>
      </c>
      <c r="D58" s="491">
        <f>SUM(F58:Q58)</f>
        <v>312916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f>Jan!$K42</f>
        <v>40458</v>
      </c>
      <c r="V58" s="491">
        <f>Feb!$K42</f>
        <v>33212</v>
      </c>
      <c r="W58" s="491">
        <f>Mar!$K42</f>
        <v>33140</v>
      </c>
      <c r="X58" s="491">
        <f>Apr!$K42</f>
        <v>25684</v>
      </c>
      <c r="Y58" s="491">
        <f>May!$K42</f>
        <v>15779</v>
      </c>
      <c r="Z58" s="491">
        <f>Jun!$K42</f>
        <v>0</v>
      </c>
      <c r="AA58" s="491">
        <f>Jul!$K42</f>
        <v>0</v>
      </c>
      <c r="AB58" s="491">
        <f>Aug!$K42</f>
        <v>0</v>
      </c>
      <c r="AC58" s="491">
        <f>Sep!$K42</f>
        <v>0</v>
      </c>
      <c r="AD58" s="491">
        <f>Oct!$K42</f>
        <v>0</v>
      </c>
      <c r="AE58" s="491">
        <f>Nov!$K42</f>
        <v>0</v>
      </c>
      <c r="AF58" s="491">
        <f>Dec!$K42</f>
        <v>0</v>
      </c>
      <c r="AG58" s="491">
        <f>Jan!$K42</f>
        <v>40458</v>
      </c>
    </row>
    <row r="59" spans="1:33" hidden="1">
      <c r="A59" s="483"/>
      <c r="B59" s="481" t="s">
        <v>74</v>
      </c>
      <c r="C59" s="491">
        <f t="shared" ref="C59" si="30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</row>
    <row r="60" spans="1:33" ht="16" thickBot="1">
      <c r="A60" s="483"/>
      <c r="B60" s="481" t="s">
        <v>21</v>
      </c>
      <c r="C60" s="542">
        <f t="shared" si="29"/>
        <v>57529436</v>
      </c>
      <c r="D60" s="542">
        <f>SUM(F60:Q60)</f>
        <v>73777669</v>
      </c>
      <c r="E60" s="542" t="s">
        <v>272</v>
      </c>
      <c r="F60" s="542">
        <f>SUM(F52:F59)</f>
        <v>0</v>
      </c>
      <c r="G60" s="542">
        <f t="shared" ref="G60:H60" si="31">SUM(G52:G59)</f>
        <v>9560411</v>
      </c>
      <c r="H60" s="542">
        <f t="shared" si="31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F60" si="32">SUM(U52:U59)</f>
        <v>11853389</v>
      </c>
      <c r="V60" s="542">
        <f t="shared" si="32"/>
        <v>7975879</v>
      </c>
      <c r="W60" s="542">
        <f t="shared" si="32"/>
        <v>7051984</v>
      </c>
      <c r="X60" s="542">
        <f t="shared" si="32"/>
        <v>5286030</v>
      </c>
      <c r="Y60" s="542">
        <f t="shared" si="32"/>
        <v>2733897</v>
      </c>
      <c r="Z60" s="542">
        <f t="shared" si="32"/>
        <v>2096440</v>
      </c>
      <c r="AA60" s="542">
        <f t="shared" si="32"/>
        <v>1982316</v>
      </c>
      <c r="AB60" s="542">
        <f t="shared" si="32"/>
        <v>2300576</v>
      </c>
      <c r="AC60" s="542">
        <f t="shared" si="32"/>
        <v>2659390</v>
      </c>
      <c r="AD60" s="542">
        <f t="shared" si="32"/>
        <v>3938193</v>
      </c>
      <c r="AE60" s="542">
        <f t="shared" si="32"/>
        <v>9651342</v>
      </c>
      <c r="AF60" s="542">
        <f t="shared" si="32"/>
        <v>0</v>
      </c>
    </row>
    <row r="61" spans="1:33" ht="16" thickTop="1">
      <c r="A61" s="483"/>
      <c r="B61" s="481" t="s">
        <v>269</v>
      </c>
      <c r="C61" s="491">
        <f>SUM(U61:AF61)</f>
        <v>38979935</v>
      </c>
      <c r="D61" s="491">
        <f>SUM(F61:Q61)</f>
        <v>73777669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f>Mar!K44</f>
        <v>7051984</v>
      </c>
      <c r="X61" s="543">
        <v>5286030</v>
      </c>
      <c r="Y61" s="684">
        <v>2733897</v>
      </c>
      <c r="Z61" s="543">
        <v>2096440</v>
      </c>
      <c r="AA61" s="543">
        <v>1982316</v>
      </c>
      <c r="AB61" s="543"/>
      <c r="AC61" s="543"/>
      <c r="AD61" s="543"/>
      <c r="AE61" s="543"/>
    </row>
    <row r="62" spans="1:33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</row>
    <row r="63" spans="1:33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33">U63+1</f>
        <v>201502</v>
      </c>
      <c r="W63" s="484">
        <f t="shared" si="33"/>
        <v>201503</v>
      </c>
      <c r="X63" s="484">
        <f t="shared" si="33"/>
        <v>201504</v>
      </c>
      <c r="Y63" s="484">
        <f t="shared" si="33"/>
        <v>201505</v>
      </c>
      <c r="Z63" s="484">
        <f t="shared" si="33"/>
        <v>201506</v>
      </c>
      <c r="AA63" s="484">
        <f t="shared" si="33"/>
        <v>201507</v>
      </c>
      <c r="AB63" s="484">
        <f t="shared" si="33"/>
        <v>201508</v>
      </c>
      <c r="AC63" s="484">
        <f t="shared" si="33"/>
        <v>201509</v>
      </c>
      <c r="AD63" s="484">
        <f t="shared" si="33"/>
        <v>201510</v>
      </c>
      <c r="AE63" s="484">
        <f t="shared" si="33"/>
        <v>201511</v>
      </c>
      <c r="AF63" s="484">
        <f t="shared" si="33"/>
        <v>201512</v>
      </c>
    </row>
    <row r="64" spans="1:33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</row>
    <row r="65" spans="1:39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</row>
    <row r="66" spans="1:39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</row>
    <row r="67" spans="1:39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H67" s="707" t="s">
        <v>330</v>
      </c>
      <c r="AI67" s="708"/>
      <c r="AJ67" s="708"/>
      <c r="AK67" s="708"/>
      <c r="AL67" s="708"/>
      <c r="AM67" s="708"/>
    </row>
    <row r="68" spans="1:39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H68" s="708"/>
      <c r="AI68" s="708"/>
      <c r="AJ68" s="708"/>
      <c r="AK68" s="708"/>
      <c r="AL68" s="708"/>
      <c r="AM68" s="708"/>
    </row>
    <row r="69" spans="1:39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H69" s="708"/>
      <c r="AI69" s="708"/>
      <c r="AJ69" s="708"/>
      <c r="AK69" s="708"/>
      <c r="AL69" s="708"/>
      <c r="AM69" s="708"/>
    </row>
    <row r="70" spans="1:39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H70" s="708"/>
      <c r="AI70" s="708"/>
      <c r="AJ70" s="708"/>
      <c r="AK70" s="708"/>
      <c r="AL70" s="708"/>
      <c r="AM70" s="708"/>
    </row>
    <row r="71" spans="1:39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H71" s="708"/>
      <c r="AI71" s="708"/>
      <c r="AJ71" s="708"/>
      <c r="AK71" s="708"/>
      <c r="AL71" s="708"/>
      <c r="AM71" s="708"/>
    </row>
    <row r="72" spans="1:39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H72" s="708"/>
      <c r="AI72" s="708"/>
      <c r="AJ72" s="708"/>
      <c r="AK72" s="708"/>
      <c r="AL72" s="708"/>
      <c r="AM72" s="708"/>
    </row>
    <row r="73" spans="1:39" s="483" customFormat="1" ht="16" thickBot="1">
      <c r="A73" s="536">
        <v>191015</v>
      </c>
      <c r="B73" s="485" t="s">
        <v>256</v>
      </c>
      <c r="C73" s="486" t="s">
        <v>251</v>
      </c>
      <c r="D73" s="686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34">U73+1</f>
        <v>201502</v>
      </c>
      <c r="W73" s="484">
        <f t="shared" si="34"/>
        <v>201503</v>
      </c>
      <c r="X73" s="484">
        <f t="shared" si="34"/>
        <v>201504</v>
      </c>
      <c r="Y73" s="484">
        <f t="shared" si="34"/>
        <v>201505</v>
      </c>
      <c r="Z73" s="484">
        <f t="shared" si="34"/>
        <v>201506</v>
      </c>
      <c r="AA73" s="484">
        <f t="shared" si="34"/>
        <v>201507</v>
      </c>
      <c r="AB73" s="484">
        <f t="shared" si="34"/>
        <v>201508</v>
      </c>
      <c r="AC73" s="484">
        <f t="shared" si="34"/>
        <v>201509</v>
      </c>
      <c r="AD73" s="484">
        <f t="shared" si="34"/>
        <v>201510</v>
      </c>
      <c r="AE73" s="484">
        <f t="shared" si="34"/>
        <v>201511</v>
      </c>
      <c r="AF73" s="484">
        <f t="shared" si="34"/>
        <v>201512</v>
      </c>
      <c r="AH73" s="564" t="s">
        <v>330</v>
      </c>
      <c r="AI73" s="525"/>
      <c r="AJ73" s="482"/>
      <c r="AK73" s="482"/>
      <c r="AL73" s="482"/>
      <c r="AM73" s="482"/>
    </row>
    <row r="74" spans="1:39" s="483" customFormat="1" ht="16" thickBot="1">
      <c r="A74" s="484"/>
      <c r="B74" s="485" t="s">
        <v>257</v>
      </c>
      <c r="C74" s="486"/>
      <c r="D74" s="686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H74" s="513">
        <f>AH4</f>
        <v>201507</v>
      </c>
      <c r="AI74" s="526"/>
      <c r="AJ74" s="514"/>
      <c r="AK74" s="514"/>
      <c r="AL74" s="523"/>
      <c r="AM74" s="515"/>
    </row>
    <row r="75" spans="1:39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f>U79</f>
        <v>-11881.722960675279</v>
      </c>
      <c r="W75" s="482">
        <f t="shared" ref="W75:AF75" si="35">V79</f>
        <v>-11901.532960675278</v>
      </c>
      <c r="X75" s="482">
        <f t="shared" si="35"/>
        <v>-11911.450904809175</v>
      </c>
      <c r="Y75" s="482">
        <f t="shared" si="35"/>
        <v>-11921.377113896517</v>
      </c>
      <c r="Z75" s="482">
        <f t="shared" si="35"/>
        <v>-11931.311594824763</v>
      </c>
      <c r="AA75" s="482">
        <f t="shared" si="35"/>
        <v>-11941.254354487117</v>
      </c>
      <c r="AB75" s="482">
        <f t="shared" si="35"/>
        <v>-11951.205399782522</v>
      </c>
      <c r="AC75" s="482">
        <f t="shared" si="35"/>
        <v>-11961.164737615674</v>
      </c>
      <c r="AD75" s="482">
        <f t="shared" si="35"/>
        <v>-11971.132374897021</v>
      </c>
      <c r="AE75" s="482">
        <f t="shared" si="35"/>
        <v>-11981.108318542769</v>
      </c>
      <c r="AF75" s="482">
        <f t="shared" si="35"/>
        <v>-11991.092575474888</v>
      </c>
      <c r="AH75" s="497" t="s">
        <v>308</v>
      </c>
      <c r="AI75" s="527">
        <v>419600</v>
      </c>
      <c r="AJ75" s="498" t="s">
        <v>288</v>
      </c>
      <c r="AK75" s="498" t="s">
        <v>291</v>
      </c>
      <c r="AL75" s="470">
        <f>IF(SUMIF(U72:AF72,AH73,U76:AF76)&lt;0,-SUMIF(U72:AF72,AH73,U76:AF76),0)</f>
        <v>0</v>
      </c>
      <c r="AM75" s="520">
        <f>IF(SUMIF(U73:AF73,AH74,U77:AF77)&gt;0,SUMIF(U73:AF73,AH74,U77:AF77),0)</f>
        <v>0</v>
      </c>
    </row>
    <row r="76" spans="1:39">
      <c r="B76" s="481" t="s">
        <v>23</v>
      </c>
      <c r="C76" s="482">
        <f>SUM(U76:AF76)</f>
        <v>4.9799999978858978E-3</v>
      </c>
      <c r="D76" s="491">
        <f>SUM(F76:Q76)</f>
        <v>1181062.2835600001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36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H76" s="499" t="s">
        <v>309</v>
      </c>
      <c r="AI76" s="528">
        <v>431600</v>
      </c>
      <c r="AJ76" s="358" t="s">
        <v>288</v>
      </c>
      <c r="AK76" s="358" t="s">
        <v>291</v>
      </c>
      <c r="AL76" s="381">
        <f>IF(SUMIF(U73:AF73,AH74,U77:AF77)&lt;0,-SUMIF(U73:AF73,AH74,U77:AF77),0)</f>
        <v>9.9510452954059314</v>
      </c>
      <c r="AM76" s="500">
        <v>0</v>
      </c>
    </row>
    <row r="77" spans="1:39">
      <c r="B77" s="481" t="s">
        <v>4</v>
      </c>
      <c r="C77" s="482">
        <f t="shared" ref="C77:C78" si="37">SUM(U77:AF77)</f>
        <v>-109.46219194583813</v>
      </c>
      <c r="D77" s="491">
        <f>SUM(F77:Q77)</f>
        <v>-8150.2660220448734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f t="shared" ref="W77:AD77" si="38">((W75*(W74/12))+((W76/2)*(W74/12)))</f>
        <v>-9.9179441338960661</v>
      </c>
      <c r="X77" s="489">
        <f t="shared" si="38"/>
        <v>-9.926209087340979</v>
      </c>
      <c r="Y77" s="489">
        <f t="shared" si="38"/>
        <v>-9.9344809282470976</v>
      </c>
      <c r="Z77" s="489">
        <f t="shared" si="38"/>
        <v>-9.9427596623539696</v>
      </c>
      <c r="AA77" s="489">
        <f t="shared" si="38"/>
        <v>-9.9510452954059314</v>
      </c>
      <c r="AB77" s="489">
        <f t="shared" si="38"/>
        <v>-9.9593378331521034</v>
      </c>
      <c r="AC77" s="489">
        <f t="shared" si="38"/>
        <v>-9.9676372813463967</v>
      </c>
      <c r="AD77" s="489">
        <f t="shared" si="38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H77" s="499" t="s">
        <v>312</v>
      </c>
      <c r="AI77" s="528">
        <v>191015</v>
      </c>
      <c r="AJ77" s="358" t="s">
        <v>288</v>
      </c>
      <c r="AK77" s="358" t="s">
        <v>291</v>
      </c>
      <c r="AL77" s="381">
        <f>IF((SUMIF(U73:AF73,AH74,U76:AF76)+SUMIF(U73:AF73,AH74,U77:AF77))&gt;0,(SUMIF(U73:AF73,AH74,U76:AF76)+SUMIF(U73:AF73,AH74,U77:AF77)),0)</f>
        <v>0</v>
      </c>
      <c r="AM77" s="500">
        <f>IF((SUMIF(U73:AF73,AH74,U76:AF76)+SUMIF(U73:AF73,AH74,U77:AF77))&lt;0,-(SUMIF(U73:AF73,AH74,U76:AF76)+SUMIF(U73:AF73,AH74,U77:AF77)),0)</f>
        <v>9.9510452954059314</v>
      </c>
    </row>
    <row r="78" spans="1:39">
      <c r="B78" s="481" t="s">
        <v>148</v>
      </c>
      <c r="C78" s="482">
        <f t="shared" si="37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H78" s="499" t="s">
        <v>313</v>
      </c>
      <c r="AI78" s="528">
        <v>805111</v>
      </c>
      <c r="AJ78" s="358" t="s">
        <v>288</v>
      </c>
      <c r="AK78" s="358" t="s">
        <v>291</v>
      </c>
      <c r="AL78" s="381">
        <f>IF((SUMIF(U73:AF73,AH74,U76:AF76))&lt;0,-(SUMIF(U73:AF73,AH74,U76:AF76)),0)</f>
        <v>0</v>
      </c>
      <c r="AM78" s="500">
        <f>IF((SUMIF(U73:AF73,AH74,U76:AF76))&gt;0,(SUMIF(U73:AF73,AH74,U76:AF76)),0)</f>
        <v>0</v>
      </c>
    </row>
    <row r="79" spans="1:39" ht="16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F79" si="39">SUM(V75:V78)</f>
        <v>-11901.532960675278</v>
      </c>
      <c r="W79" s="541">
        <f t="shared" si="39"/>
        <v>-11911.450904809175</v>
      </c>
      <c r="X79" s="541">
        <f t="shared" si="39"/>
        <v>-11921.377113896517</v>
      </c>
      <c r="Y79" s="541">
        <f t="shared" si="39"/>
        <v>-11931.311594824763</v>
      </c>
      <c r="Z79" s="541">
        <f t="shared" si="39"/>
        <v>-11941.254354487117</v>
      </c>
      <c r="AA79" s="541">
        <f t="shared" si="39"/>
        <v>-11951.205399782522</v>
      </c>
      <c r="AB79" s="541">
        <f t="shared" si="39"/>
        <v>-11961.164737615674</v>
      </c>
      <c r="AC79" s="541">
        <f t="shared" si="39"/>
        <v>-11971.132374897021</v>
      </c>
      <c r="AD79" s="541">
        <f t="shared" si="39"/>
        <v>-11981.108318542769</v>
      </c>
      <c r="AE79" s="541">
        <f t="shared" si="39"/>
        <v>-11991.092575474888</v>
      </c>
      <c r="AF79" s="541">
        <f t="shared" si="39"/>
        <v>-12001.085152621117</v>
      </c>
      <c r="AH79" s="499" t="s">
        <v>332</v>
      </c>
      <c r="AI79" s="528">
        <v>191015</v>
      </c>
      <c r="AJ79" s="358" t="s">
        <v>288</v>
      </c>
      <c r="AK79" s="358" t="s">
        <v>291</v>
      </c>
      <c r="AL79" s="381">
        <v>0</v>
      </c>
      <c r="AM79" s="500">
        <v>0</v>
      </c>
    </row>
    <row r="80" spans="1:39" ht="16.5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 t="e">
        <f ca="1">_xll.Get_Balance(V73,"YTD","USD","Total","A","","001",$A$73,"GD","ID","DL")</f>
        <v>#NAME?</v>
      </c>
      <c r="W80" s="482" t="e">
        <f ca="1">_xll.Get_Balance(W73,"YTD","USD","Total","A","","001",$A$73,"GD","ID","DL")</f>
        <v>#NAME?</v>
      </c>
      <c r="X80" s="482" t="e">
        <f ca="1">_xll.Get_Balance(X73,"YTD","USD","Total","A","","001",$A$73,"GD","ID","DL")</f>
        <v>#NAME?</v>
      </c>
      <c r="Y80" s="482" t="e">
        <f ca="1">_xll.Get_Balance(Y73,"YTD","USD","Total","A","","001",$A$73,"GD","ID","DL")</f>
        <v>#NAME?</v>
      </c>
      <c r="Z80" s="482" t="e">
        <f ca="1">_xll.Get_Balance(Z73,"YTD","USD","Total","A","","001",$A$73,"GD","ID","DL")</f>
        <v>#NAME?</v>
      </c>
      <c r="AA80" s="482" t="e">
        <f ca="1">_xll.Get_Balance(AA73,"YTD","USD","Total","A","","001",$A$73,"GD","ID","DL")</f>
        <v>#NAME?</v>
      </c>
      <c r="AB80" s="482" t="e">
        <f ca="1">_xll.Get_Balance(AB73,"YTD","USD","Total","A","","001",$A$73,"GD","ID","DL")</f>
        <v>#NAME?</v>
      </c>
      <c r="AC80" s="482" t="e">
        <f ca="1">_xll.Get_Balance(AC73,"YTD","USD","Total","A","","001",$A$73,"GD","ID","DL")</f>
        <v>#NAME?</v>
      </c>
      <c r="AD80" s="482" t="e">
        <f ca="1">_xll.Get_Balance(AD73,"YTD","USD","Total","A","","001",$A$73,"GD","ID","DL")</f>
        <v>#NAME?</v>
      </c>
      <c r="AE80" s="482" t="e">
        <f ca="1">_xll.Get_Balance(AE73,"YTD","USD","Total","A","","001",$A$73,"GD","ID","DL")</f>
        <v>#NAME?</v>
      </c>
      <c r="AF80" s="482" t="e">
        <f ca="1">_xll.Get_Balance(AF73,"YTD","USD","Total","A","","001",$A$73,"GD","ID","DL")</f>
        <v>#NAME?</v>
      </c>
      <c r="AH80" s="501" t="s">
        <v>332</v>
      </c>
      <c r="AI80" s="529">
        <v>431600</v>
      </c>
      <c r="AJ80" s="502" t="s">
        <v>288</v>
      </c>
      <c r="AK80" s="502" t="s">
        <v>291</v>
      </c>
      <c r="AL80" s="464">
        <v>0</v>
      </c>
      <c r="AM80" s="521">
        <v>0</v>
      </c>
    </row>
    <row r="81" spans="2:41" ht="16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 t="e">
        <f t="shared" ref="V81:AF81" ca="1" si="40">V79-V80</f>
        <v>#NAME?</v>
      </c>
      <c r="W81" s="482" t="e">
        <f t="shared" ca="1" si="40"/>
        <v>#NAME?</v>
      </c>
      <c r="X81" s="482" t="e">
        <f t="shared" ca="1" si="40"/>
        <v>#NAME?</v>
      </c>
      <c r="Y81" s="482" t="e">
        <f t="shared" ca="1" si="40"/>
        <v>#NAME?</v>
      </c>
      <c r="Z81" s="482" t="e">
        <f t="shared" ca="1" si="40"/>
        <v>#NAME?</v>
      </c>
      <c r="AA81" s="482" t="e">
        <f t="shared" ca="1" si="40"/>
        <v>#NAME?</v>
      </c>
      <c r="AB81" s="482" t="e">
        <f t="shared" ca="1" si="40"/>
        <v>#NAME?</v>
      </c>
      <c r="AC81" s="482" t="e">
        <f t="shared" ca="1" si="40"/>
        <v>#NAME?</v>
      </c>
      <c r="AD81" s="482" t="e">
        <f t="shared" ca="1" si="40"/>
        <v>#NAME?</v>
      </c>
      <c r="AE81" s="482" t="e">
        <f t="shared" ca="1" si="40"/>
        <v>#NAME?</v>
      </c>
      <c r="AF81" s="482" t="e">
        <f t="shared" ca="1" si="40"/>
        <v>#NAME?</v>
      </c>
      <c r="AH81" s="516"/>
      <c r="AI81" s="530"/>
      <c r="AJ81" s="517"/>
      <c r="AK81" s="517"/>
      <c r="AL81" s="517" t="s">
        <v>159</v>
      </c>
      <c r="AM81" s="518">
        <f>SUM(AL75:AL80)-SUM(AM75:AM80)</f>
        <v>0</v>
      </c>
    </row>
    <row r="84" spans="2:41">
      <c r="X84" s="576"/>
      <c r="Y84" s="576"/>
      <c r="Z84" s="576"/>
      <c r="AA84" s="576"/>
      <c r="AB84" s="576"/>
      <c r="AC84" s="576"/>
      <c r="AD84" s="576"/>
      <c r="AE84" s="576"/>
      <c r="AF84" s="576"/>
      <c r="AG84" s="576"/>
      <c r="AH84" s="709"/>
      <c r="AI84" s="710"/>
      <c r="AJ84" s="710"/>
      <c r="AK84" s="710"/>
      <c r="AL84" s="710"/>
      <c r="AM84" s="710"/>
      <c r="AN84" s="576"/>
      <c r="AO84" s="576"/>
    </row>
    <row r="85" spans="2:41">
      <c r="X85" s="576"/>
      <c r="Y85" s="576"/>
      <c r="Z85" s="576"/>
      <c r="AA85" s="576"/>
      <c r="AB85" s="576"/>
      <c r="AC85" s="576"/>
      <c r="AD85" s="576"/>
      <c r="AE85" s="576"/>
      <c r="AF85" s="576"/>
      <c r="AG85" s="576"/>
      <c r="AH85" s="710"/>
      <c r="AI85" s="710"/>
      <c r="AJ85" s="710"/>
      <c r="AK85" s="710"/>
      <c r="AL85" s="710"/>
      <c r="AM85" s="710"/>
      <c r="AN85" s="576"/>
      <c r="AO85" s="576"/>
    </row>
    <row r="86" spans="2:41">
      <c r="X86" s="576"/>
      <c r="Y86" s="576"/>
      <c r="Z86" s="576"/>
      <c r="AA86" s="576"/>
      <c r="AB86" s="576"/>
      <c r="AC86" s="576"/>
      <c r="AD86" s="576"/>
      <c r="AE86" s="576"/>
      <c r="AF86" s="576"/>
      <c r="AG86" s="576"/>
      <c r="AH86" s="710"/>
      <c r="AI86" s="710"/>
      <c r="AJ86" s="710"/>
      <c r="AK86" s="710"/>
      <c r="AL86" s="710"/>
      <c r="AM86" s="710"/>
      <c r="AN86" s="576"/>
      <c r="AO86" s="576"/>
    </row>
    <row r="87" spans="2:41">
      <c r="X87" s="576"/>
      <c r="Y87" s="576"/>
      <c r="Z87" s="576"/>
      <c r="AA87" s="576"/>
      <c r="AB87" s="576"/>
      <c r="AC87" s="576"/>
      <c r="AD87" s="576"/>
      <c r="AE87" s="576"/>
      <c r="AF87" s="576"/>
      <c r="AG87" s="576"/>
      <c r="AH87" s="710"/>
      <c r="AI87" s="710"/>
      <c r="AJ87" s="710"/>
      <c r="AK87" s="710"/>
      <c r="AL87" s="710"/>
      <c r="AM87" s="710"/>
      <c r="AN87" s="576"/>
      <c r="AO87" s="576"/>
    </row>
    <row r="88" spans="2:41">
      <c r="X88" s="576"/>
      <c r="Y88" s="576"/>
      <c r="Z88" s="576"/>
      <c r="AA88" s="576"/>
      <c r="AB88" s="576"/>
      <c r="AC88" s="576"/>
      <c r="AD88" s="576"/>
      <c r="AE88" s="576"/>
      <c r="AF88" s="576"/>
      <c r="AG88" s="576"/>
      <c r="AH88" s="710"/>
      <c r="AI88" s="710"/>
      <c r="AJ88" s="710"/>
      <c r="AK88" s="710"/>
      <c r="AL88" s="710"/>
      <c r="AM88" s="710"/>
      <c r="AN88" s="576"/>
      <c r="AO88" s="576"/>
    </row>
    <row r="89" spans="2:41">
      <c r="X89" s="576"/>
      <c r="Y89" s="576"/>
      <c r="Z89" s="576"/>
      <c r="AA89" s="576"/>
      <c r="AB89" s="576"/>
      <c r="AC89" s="576"/>
      <c r="AD89" s="576"/>
      <c r="AE89" s="576"/>
      <c r="AF89" s="576"/>
      <c r="AG89" s="576"/>
      <c r="AH89" s="710"/>
      <c r="AI89" s="710"/>
      <c r="AJ89" s="710"/>
      <c r="AK89" s="710"/>
      <c r="AL89" s="710"/>
      <c r="AM89" s="710"/>
      <c r="AN89" s="576"/>
      <c r="AO89" s="576"/>
    </row>
    <row r="90" spans="2:41">
      <c r="X90" s="576"/>
      <c r="Y90" s="576"/>
      <c r="Z90" s="576"/>
      <c r="AA90" s="576"/>
      <c r="AB90" s="576"/>
      <c r="AC90" s="576"/>
      <c r="AD90" s="576"/>
      <c r="AE90" s="576"/>
      <c r="AF90" s="576"/>
      <c r="AG90" s="576"/>
      <c r="AH90" s="358"/>
      <c r="AI90" s="528"/>
      <c r="AJ90" s="358"/>
      <c r="AK90" s="358"/>
      <c r="AL90" s="576"/>
      <c r="AM90" s="576"/>
      <c r="AN90" s="576"/>
      <c r="AO90" s="576"/>
    </row>
    <row r="91" spans="2:41">
      <c r="M91" s="482">
        <v>13246436.58</v>
      </c>
      <c r="X91" s="576"/>
      <c r="Y91" s="576"/>
      <c r="Z91" s="576"/>
      <c r="AA91" s="576"/>
      <c r="AB91" s="576"/>
      <c r="AC91" s="576"/>
      <c r="AD91" s="576"/>
      <c r="AE91" s="576"/>
      <c r="AF91" s="576"/>
      <c r="AG91" s="576"/>
      <c r="AH91" s="7"/>
      <c r="AI91" s="209"/>
      <c r="AJ91" s="7"/>
      <c r="AK91" s="7"/>
      <c r="AL91" s="576"/>
      <c r="AM91" s="576"/>
      <c r="AN91" s="576"/>
      <c r="AO91" s="576"/>
    </row>
    <row r="92" spans="2:41">
      <c r="X92" s="576"/>
      <c r="Y92" s="576"/>
      <c r="Z92" s="576"/>
      <c r="AA92" s="576"/>
      <c r="AB92" s="576"/>
      <c r="AC92" s="576"/>
      <c r="AD92" s="576"/>
      <c r="AE92" s="576"/>
      <c r="AF92" s="576"/>
      <c r="AG92" s="576"/>
      <c r="AH92" s="358"/>
      <c r="AI92" s="528"/>
      <c r="AJ92" s="358"/>
      <c r="AK92" s="358"/>
      <c r="AL92" s="576"/>
      <c r="AM92" s="576"/>
      <c r="AN92" s="576"/>
      <c r="AO92" s="576"/>
    </row>
    <row r="93" spans="2:41">
      <c r="X93" s="576"/>
      <c r="Y93" s="576"/>
      <c r="Z93" s="576"/>
      <c r="AA93" s="576"/>
      <c r="AB93" s="576"/>
      <c r="AC93" s="576"/>
      <c r="AD93" s="576"/>
      <c r="AE93" s="576"/>
      <c r="AF93" s="576"/>
      <c r="AG93" s="576"/>
      <c r="AH93" s="576"/>
      <c r="AI93" s="603"/>
      <c r="AJ93" s="576"/>
      <c r="AK93" s="576"/>
      <c r="AL93" s="576"/>
      <c r="AM93" s="576"/>
      <c r="AN93" s="576"/>
      <c r="AO93" s="576"/>
    </row>
  </sheetData>
  <mergeCells count="3">
    <mergeCell ref="AH31:AL36"/>
    <mergeCell ref="AH67:AM72"/>
    <mergeCell ref="AH84:AM89"/>
  </mergeCells>
  <conditionalFormatting sqref="E28">
    <cfRule type="cellIs" dxfId="465" priority="26" operator="notEqual">
      <formula>E27</formula>
    </cfRule>
  </conditionalFormatting>
  <conditionalFormatting sqref="F28">
    <cfRule type="cellIs" dxfId="464" priority="25" operator="notEqual">
      <formula>F27</formula>
    </cfRule>
  </conditionalFormatting>
  <conditionalFormatting sqref="G28">
    <cfRule type="cellIs" dxfId="463" priority="24" operator="notEqual">
      <formula>G27</formula>
    </cfRule>
  </conditionalFormatting>
  <conditionalFormatting sqref="H28">
    <cfRule type="cellIs" dxfId="462" priority="23" operator="notEqual">
      <formula>H27</formula>
    </cfRule>
  </conditionalFormatting>
  <conditionalFormatting sqref="C28">
    <cfRule type="cellIs" dxfId="461" priority="22" operator="notEqual">
      <formula>C27</formula>
    </cfRule>
  </conditionalFormatting>
  <conditionalFormatting sqref="F61">
    <cfRule type="cellIs" dxfId="460" priority="21" operator="notEqual">
      <formula>F60</formula>
    </cfRule>
  </conditionalFormatting>
  <conditionalFormatting sqref="G61">
    <cfRule type="cellIs" dxfId="459" priority="20" operator="notEqual">
      <formula>G60</formula>
    </cfRule>
  </conditionalFormatting>
  <conditionalFormatting sqref="H61">
    <cfRule type="cellIs" dxfId="458" priority="19" operator="notEqual">
      <formula>H60</formula>
    </cfRule>
  </conditionalFormatting>
  <conditionalFormatting sqref="C61">
    <cfRule type="cellIs" dxfId="457" priority="18" operator="notEqual">
      <formula>C60</formula>
    </cfRule>
  </conditionalFormatting>
  <conditionalFormatting sqref="I61">
    <cfRule type="cellIs" dxfId="456" priority="17" operator="notEqual">
      <formula>I60</formula>
    </cfRule>
  </conditionalFormatting>
  <conditionalFormatting sqref="AM81 AM48 AM11">
    <cfRule type="cellIs" dxfId="455" priority="16" operator="notEqual">
      <formula>0</formula>
    </cfRule>
  </conditionalFormatting>
  <conditionalFormatting sqref="I28">
    <cfRule type="cellIs" dxfId="454" priority="15" operator="notEqual">
      <formula>I27</formula>
    </cfRule>
  </conditionalFormatting>
  <conditionalFormatting sqref="J28">
    <cfRule type="cellIs" dxfId="453" priority="14" operator="notEqual">
      <formula>J27</formula>
    </cfRule>
  </conditionalFormatting>
  <conditionalFormatting sqref="J61">
    <cfRule type="cellIs" dxfId="452" priority="13" operator="notEqual">
      <formula>J60</formula>
    </cfRule>
  </conditionalFormatting>
  <conditionalFormatting sqref="K28">
    <cfRule type="cellIs" dxfId="451" priority="12" operator="notEqual">
      <formula>K27</formula>
    </cfRule>
  </conditionalFormatting>
  <conditionalFormatting sqref="K61">
    <cfRule type="cellIs" dxfId="450" priority="11" operator="notEqual">
      <formula>K60</formula>
    </cfRule>
  </conditionalFormatting>
  <conditionalFormatting sqref="L28:M28">
    <cfRule type="cellIs" dxfId="449" priority="10" operator="notEqual">
      <formula>L27</formula>
    </cfRule>
  </conditionalFormatting>
  <conditionalFormatting sqref="N28">
    <cfRule type="cellIs" dxfId="448" priority="9" operator="notEqual">
      <formula>N27</formula>
    </cfRule>
  </conditionalFormatting>
  <conditionalFormatting sqref="U61">
    <cfRule type="cellIs" dxfId="447" priority="8" operator="notEqual">
      <formula>U60</formula>
    </cfRule>
  </conditionalFormatting>
  <conditionalFormatting sqref="U28:V28">
    <cfRule type="cellIs" dxfId="446" priority="7" operator="notEqual">
      <formula>U27</formula>
    </cfRule>
  </conditionalFormatting>
  <conditionalFormatting sqref="V28">
    <cfRule type="cellIs" dxfId="445" priority="6" operator="notEqual">
      <formula>V27</formula>
    </cfRule>
  </conditionalFormatting>
  <conditionalFormatting sqref="V61">
    <cfRule type="cellIs" dxfId="444" priority="5" operator="notEqual">
      <formula>V60</formula>
    </cfRule>
  </conditionalFormatting>
  <conditionalFormatting sqref="W28">
    <cfRule type="cellIs" dxfId="443" priority="4" operator="notEqual">
      <formula>W27</formula>
    </cfRule>
  </conditionalFormatting>
  <conditionalFormatting sqref="W61">
    <cfRule type="cellIs" dxfId="442" priority="3" operator="notEqual">
      <formula>W60</formula>
    </cfRule>
  </conditionalFormatting>
  <conditionalFormatting sqref="X28:Y28">
    <cfRule type="cellIs" dxfId="441" priority="2" operator="notEqual">
      <formula>X27</formula>
    </cfRule>
  </conditionalFormatting>
  <conditionalFormatting sqref="Z28">
    <cfRule type="cellIs" dxfId="440" priority="1" operator="notEqual">
      <formula>Z27</formula>
    </cfRule>
  </conditionalFormatting>
  <pageMargins left="0" right="0" top="0.75" bottom="0.75" header="0.3" footer="0.3"/>
  <pageSetup scale="4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theme="4" tint="0.59999389629810485"/>
    <pageSetUpPr fitToPage="1"/>
  </sheetPr>
  <dimension ref="A1:AM80"/>
  <sheetViews>
    <sheetView topLeftCell="C1" zoomScale="85" zoomScaleNormal="85" zoomScaleSheetLayoutView="85" workbookViewId="0">
      <selection activeCell="AH24" sqref="AH24"/>
    </sheetView>
  </sheetViews>
  <sheetFormatPr defaultColWidth="9.09765625" defaultRowHeight="15.5"/>
  <cols>
    <col min="1" max="1" width="17.296875" style="482" customWidth="1"/>
    <col min="2" max="2" width="18.69921875" style="481" bestFit="1" customWidth="1"/>
    <col min="3" max="3" width="16.09765625" style="482" customWidth="1"/>
    <col min="4" max="4" width="16.296875" style="482" customWidth="1"/>
    <col min="5" max="5" width="15.59765625" style="482" hidden="1" customWidth="1"/>
    <col min="6" max="6" width="18.296875" style="482" hidden="1" customWidth="1"/>
    <col min="7" max="7" width="16.296875" style="482" hidden="1" customWidth="1"/>
    <col min="8" max="9" width="19.8984375" style="482" hidden="1" customWidth="1"/>
    <col min="10" max="10" width="16.296875" style="482" hidden="1" customWidth="1"/>
    <col min="11" max="11" width="21.59765625" style="482" hidden="1" customWidth="1"/>
    <col min="12" max="18" width="16.296875" style="482" hidden="1" customWidth="1"/>
    <col min="19" max="20" width="16.296875" style="482" customWidth="1"/>
    <col min="21" max="21" width="19.8984375" style="482" customWidth="1"/>
    <col min="22" max="22" width="16.296875" style="482" customWidth="1"/>
    <col min="23" max="23" width="21.59765625" style="482" customWidth="1"/>
    <col min="24" max="26" width="16.296875" style="482" customWidth="1"/>
    <col min="27" max="32" width="16.296875" style="482" hidden="1" customWidth="1"/>
    <col min="33" max="33" width="11.69921875" style="482" customWidth="1"/>
    <col min="34" max="34" width="37.8984375" style="482" bestFit="1" customWidth="1"/>
    <col min="35" max="35" width="14.3984375" style="525" bestFit="1" customWidth="1"/>
    <col min="36" max="36" width="4.69921875" style="482" bestFit="1" customWidth="1"/>
    <col min="37" max="37" width="5" style="482" bestFit="1" customWidth="1"/>
    <col min="38" max="38" width="18.296875" style="482" customWidth="1"/>
    <col min="39" max="39" width="17.09765625" style="482" bestFit="1" customWidth="1"/>
    <col min="40" max="40" width="0.3984375" style="482" customWidth="1"/>
    <col min="41" max="16384" width="9.09765625" style="482"/>
  </cols>
  <sheetData>
    <row r="1" spans="1:39">
      <c r="A1" s="480" t="s">
        <v>265</v>
      </c>
      <c r="AH1" s="480" t="s">
        <v>315</v>
      </c>
    </row>
    <row r="2" spans="1:39">
      <c r="A2" s="483" t="s">
        <v>266</v>
      </c>
    </row>
    <row r="3" spans="1:39" s="483" customFormat="1" ht="31.5" thickBot="1">
      <c r="A3" s="484">
        <v>191010</v>
      </c>
      <c r="B3" s="485" t="s">
        <v>256</v>
      </c>
      <c r="C3" s="486" t="s">
        <v>251</v>
      </c>
      <c r="D3" s="685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 t="shared" ref="AF3" si="1">AE3+1</f>
        <v>201512</v>
      </c>
      <c r="AI3" s="484"/>
    </row>
    <row r="4" spans="1:39" s="483" customFormat="1" ht="16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H4" s="544">
        <v>201506</v>
      </c>
      <c r="AI4" s="526"/>
      <c r="AJ4" s="514"/>
      <c r="AK4" s="514"/>
      <c r="AL4" s="514"/>
      <c r="AM4" s="515"/>
    </row>
    <row r="5" spans="1:39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-1154882.2995837759</v>
      </c>
      <c r="W5" s="482">
        <f t="shared" ref="W5:AD5" si="2">V13</f>
        <v>-1883329.5456927749</v>
      </c>
      <c r="X5" s="482">
        <f t="shared" si="2"/>
        <v>-872806.43822777225</v>
      </c>
      <c r="Y5" s="482">
        <f t="shared" si="2"/>
        <v>-2959310.535139773</v>
      </c>
      <c r="Z5" s="482">
        <f t="shared" si="2"/>
        <v>-3131335.1133777718</v>
      </c>
      <c r="AA5" s="482">
        <f t="shared" si="2"/>
        <v>-3303665.3888877728</v>
      </c>
      <c r="AB5" s="482">
        <f t="shared" si="2"/>
        <v>-3655951.1713057715</v>
      </c>
      <c r="AC5" s="482">
        <f t="shared" si="2"/>
        <v>-3747278.07094577</v>
      </c>
      <c r="AD5" s="482">
        <f t="shared" si="2"/>
        <v>-4948357.8050077725</v>
      </c>
      <c r="AE5" s="482">
        <f>AD13</f>
        <v>-6093381.4883727729</v>
      </c>
      <c r="AF5" s="482">
        <f t="shared" ref="AF5" si="3">AE13</f>
        <v>-7722519.1945627714</v>
      </c>
      <c r="AH5" s="497" t="s">
        <v>294</v>
      </c>
      <c r="AI5" s="527">
        <v>419600</v>
      </c>
      <c r="AJ5" s="498" t="s">
        <v>288</v>
      </c>
      <c r="AK5" s="498" t="s">
        <v>289</v>
      </c>
      <c r="AL5" s="519">
        <v>0</v>
      </c>
      <c r="AM5" s="520">
        <f>IF(SUMIF(U3:AF3,AH4,U8:AF8)&gt;0,SUMIF(U3:AF3,AH4,U8:AF8),0)</f>
        <v>0</v>
      </c>
    </row>
    <row r="6" spans="1:39">
      <c r="B6" s="481" t="s">
        <v>254</v>
      </c>
      <c r="C6" s="482">
        <f>SUM(U6:AF6)</f>
        <v>-10042423.246235993</v>
      </c>
      <c r="D6" s="482">
        <f>-2523837.34+SUM(E6:N6,E9:T9)</f>
        <v>4.5212078839540482E-3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f>Feb!$H$53</f>
        <v>0</v>
      </c>
      <c r="W6" s="482">
        <f>Mar!$H$53</f>
        <v>1135107.4385570027</v>
      </c>
      <c r="X6" s="482">
        <f>Apr!$H$53</f>
        <v>-2310603.7085020011</v>
      </c>
      <c r="Y6" s="482">
        <f>May!$H$53</f>
        <v>-1026688.9535339989</v>
      </c>
      <c r="Z6" s="482">
        <f>Jun!$H$53</f>
        <v>-1511176.335440001</v>
      </c>
      <c r="AA6" s="482">
        <f>Jul!$H$53</f>
        <v>-1483614.197077998</v>
      </c>
      <c r="AB6" s="482">
        <f>Aug!$H$53</f>
        <v>-1288286.6270379988</v>
      </c>
      <c r="AC6" s="482">
        <f>Sep!$H$53</f>
        <v>-2088616.5970920017</v>
      </c>
      <c r="AD6" s="482">
        <f>Oct!$H$55</f>
        <v>-1862270.5500129997</v>
      </c>
      <c r="AE6" s="482">
        <f>Nov!$H$55</f>
        <v>-294955.25549999811</v>
      </c>
      <c r="AF6" s="482">
        <f>Dec!$H$53</f>
        <v>0</v>
      </c>
      <c r="AH6" s="499" t="s">
        <v>295</v>
      </c>
      <c r="AI6" s="528">
        <v>431600</v>
      </c>
      <c r="AJ6" s="358" t="s">
        <v>288</v>
      </c>
      <c r="AK6" s="358" t="s">
        <v>289</v>
      </c>
      <c r="AL6" s="381">
        <f>IF(SUMIF(U3:AF3,AH4,U8:AF8)&lt;0,-SUMIF(U3:AF3,AH4,U8:AF8),0)</f>
        <v>8702.2800000000007</v>
      </c>
      <c r="AM6" s="500">
        <v>0</v>
      </c>
    </row>
    <row r="7" spans="1:39">
      <c r="B7" s="481" t="s">
        <v>255</v>
      </c>
      <c r="C7" s="482">
        <f t="shared" ref="C7:C12" si="4">SUM(U7:AF7)</f>
        <v>2652361.2041769996</v>
      </c>
      <c r="D7" s="482">
        <f>5059705.37+SUM(E7:N7,E10:T10)</f>
        <v>-2.4999678134918213E-4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f>Feb!$I$53</f>
        <v>-724338.56610899908</v>
      </c>
      <c r="W7" s="482">
        <f>Mar!$I$53</f>
        <v>-120857.11109200004</v>
      </c>
      <c r="X7" s="482">
        <f>Apr!$I$53</f>
        <v>229663.83159000031</v>
      </c>
      <c r="Y7" s="482">
        <f>May!$I$53</f>
        <v>862900.97529599979</v>
      </c>
      <c r="Z7" s="482">
        <f>Jun!$I$53</f>
        <v>1347548.3399299998</v>
      </c>
      <c r="AA7" s="482">
        <f>Jul!$I$53</f>
        <v>1140740.15466</v>
      </c>
      <c r="AB7" s="482">
        <f>Aug!$I$53</f>
        <v>1206971.3773980001</v>
      </c>
      <c r="AC7" s="482">
        <f>Sep!$I$53</f>
        <v>899296.28302999982</v>
      </c>
      <c r="AD7" s="482">
        <f>Oct!$I$55</f>
        <v>732178.99664799974</v>
      </c>
      <c r="AE7" s="563">
        <f>Nov!$I$55</f>
        <v>-1315498.7206899999</v>
      </c>
      <c r="AF7" s="482">
        <f>Dec!$I$53</f>
        <v>0</v>
      </c>
      <c r="AH7" s="499" t="s">
        <v>296</v>
      </c>
      <c r="AI7" s="528">
        <v>191010</v>
      </c>
      <c r="AJ7" s="358" t="s">
        <v>288</v>
      </c>
      <c r="AK7" s="358" t="s">
        <v>289</v>
      </c>
      <c r="AL7" s="381">
        <f>IF((SUMIF(U3:AF3,AH4,U6:AF6)+SUMIF(U3:AF3,AH4,U7:AF7)+SUMIF(U3:AF3,AH4,U8:AF8))&gt;0,(SUMIF(U3:AF3,AH4,U6:AF6)+SUMIF(U3:AF3,AH4,U7:AF7)+SUMIF(U3:AF3,AH4,U8:AF8)),0)</f>
        <v>0</v>
      </c>
      <c r="AM7" s="500">
        <f>IF((SUMIF(U3:AF3,AH4,U6:AF6)+SUMIF(U3:AF3,AH4,U7:AF7)+SUMIF(U3:AF3,AH4,U8:AF8))&lt;0,-(SUMIF(U3:AF3,AH4,U6:AF6)+SUMIF(U3:AF3,AH4,U7:AF7)++SUMIF(U3:AF3,AH4,U8:AF8)),0)</f>
        <v>172330.2755100012</v>
      </c>
    </row>
    <row r="8" spans="1:39">
      <c r="B8" s="481" t="s">
        <v>258</v>
      </c>
      <c r="C8" s="482">
        <f t="shared" si="4"/>
        <v>-117362.70999999999</v>
      </c>
      <c r="D8" s="482">
        <f>-38846.64+SUM(E8:N8,E11:T11)</f>
        <v>5.9999999990395736E-2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5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f>ROUND(((V5)*(V4/12))+((SUM(V6:V7)/2)*(V4/12)),2)</f>
        <v>-4108.68</v>
      </c>
      <c r="W8" s="489">
        <f t="shared" ref="W8:AC8" si="6">ROUND(((W5)*(W4/12))+((SUM(W6:W7)/2)*(W4/12)),2)</f>
        <v>-3727.22</v>
      </c>
      <c r="X8" s="489">
        <f>ROUND(((X5+X12)*(X4/12))+((SUM(X6:X7)/2)*(X4/12)),2)</f>
        <v>-5182.82</v>
      </c>
      <c r="Y8" s="489">
        <f t="shared" si="6"/>
        <v>-8236.6</v>
      </c>
      <c r="Z8" s="489">
        <f t="shared" si="6"/>
        <v>-8702.2800000000007</v>
      </c>
      <c r="AA8" s="489">
        <f t="shared" si="6"/>
        <v>-9411.74</v>
      </c>
      <c r="AB8" s="489">
        <f t="shared" si="6"/>
        <v>-10011.65</v>
      </c>
      <c r="AC8" s="489">
        <f t="shared" si="6"/>
        <v>-11759.42</v>
      </c>
      <c r="AD8" s="489">
        <f>ROUND(((AD5)*(AD4/12))+((SUM(AD6:AD7)/2)*(AD4/12)),2)</f>
        <v>-14932.13</v>
      </c>
      <c r="AE8" s="560">
        <f>ROUND(((AE5+AE9+AE10+AE11)*(AE4/12))+((SUM(AE6:AE7)/2)*(AE4/12)),2)</f>
        <v>-18683.73</v>
      </c>
      <c r="AF8" s="489">
        <f>ROUND(((AF5)*(AF4/12))+((SUM(AF6:AF7)/2)*(AF4/12)),2)</f>
        <v>-20915.16</v>
      </c>
      <c r="AH8" s="499" t="s">
        <v>297</v>
      </c>
      <c r="AI8" s="528">
        <v>805120</v>
      </c>
      <c r="AJ8" s="358" t="s">
        <v>288</v>
      </c>
      <c r="AK8" s="358" t="s">
        <v>289</v>
      </c>
      <c r="AL8" s="381">
        <f>IF((SUMIF(U3:AF3,AH4,U6:AF6)+SUMIF(U3:AF3,AH4,U7:AF7))&lt;0,-(SUMIF(U3:AF3,AH4,U6:AF6)+SUMIF(U3:AF3,AH4,U7:AF7)),0)</f>
        <v>163627.9955100012</v>
      </c>
      <c r="AM8" s="500">
        <f>IF((SUMIF(U3:AF3,AH4,U6:AF6)+SUMIF(U3:AF3,AH4,U7:AF7))&gt;0,(SUMIF(U3:AF3,AH4,U6:AF6)+SUMIF(U3:AF3,AH4,U7:AF7)),0)</f>
        <v>0</v>
      </c>
    </row>
    <row r="9" spans="1:39">
      <c r="B9" s="481" t="s">
        <v>262</v>
      </c>
      <c r="C9" s="482">
        <f t="shared" si="4"/>
        <v>-69937.37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63">
        <v>0</v>
      </c>
      <c r="AF9" s="482">
        <v>0</v>
      </c>
      <c r="AH9" s="499" t="s">
        <v>11</v>
      </c>
      <c r="AI9" s="528">
        <v>191010</v>
      </c>
      <c r="AJ9" s="358" t="s">
        <v>288</v>
      </c>
      <c r="AK9" s="358" t="s">
        <v>289</v>
      </c>
      <c r="AL9" s="381">
        <v>0</v>
      </c>
      <c r="AM9" s="500">
        <v>0</v>
      </c>
    </row>
    <row r="10" spans="1:39" ht="16" thickBot="1">
      <c r="B10" s="481" t="s">
        <v>263</v>
      </c>
      <c r="C10" s="482">
        <f t="shared" si="4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63">
        <v>0</v>
      </c>
      <c r="AF10" s="482">
        <v>0</v>
      </c>
      <c r="AH10" s="501" t="str">
        <f>AH9</f>
        <v>Tracker Transfer</v>
      </c>
      <c r="AI10" s="529">
        <f>AI41</f>
        <v>191000</v>
      </c>
      <c r="AJ10" s="529" t="str">
        <f>AJ41</f>
        <v>GD</v>
      </c>
      <c r="AK10" s="529" t="str">
        <f>AK41</f>
        <v>WA</v>
      </c>
      <c r="AL10" s="503">
        <v>0</v>
      </c>
      <c r="AM10" s="521">
        <f>AL9</f>
        <v>0</v>
      </c>
    </row>
    <row r="11" spans="1:39" ht="16" thickBot="1">
      <c r="B11" s="481" t="s">
        <v>264</v>
      </c>
      <c r="C11" s="482">
        <f t="shared" si="4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63">
        <v>0</v>
      </c>
      <c r="AF11" s="482">
        <v>0</v>
      </c>
      <c r="AH11" s="516"/>
      <c r="AI11" s="530"/>
      <c r="AJ11" s="517"/>
      <c r="AK11" s="517"/>
      <c r="AL11" s="517" t="s">
        <v>159</v>
      </c>
      <c r="AM11" s="518">
        <f>SUM(AL5:AL10)-SUM(AM5:AM10)</f>
        <v>0</v>
      </c>
    </row>
    <row r="12" spans="1:39">
      <c r="B12" s="481" t="s">
        <v>148</v>
      </c>
      <c r="C12" s="482">
        <f t="shared" si="4"/>
        <v>-381.4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</row>
    <row r="13" spans="1:39" ht="16" thickBot="1">
      <c r="B13" s="481" t="s">
        <v>56</v>
      </c>
      <c r="C13" s="541">
        <f>SUM(C5:C12)</f>
        <v>-7577743.5220589936</v>
      </c>
      <c r="D13" s="541"/>
      <c r="E13" s="541">
        <f>SUM(E5:E12)</f>
        <v>2712780.2600000002</v>
      </c>
      <c r="F13" s="541">
        <f t="shared" ref="F13:H13" si="7">SUM(F5:F12)</f>
        <v>2255013.9900000002</v>
      </c>
      <c r="G13" s="541">
        <f>SUM(G5:G12)</f>
        <v>-33498.738666789999</v>
      </c>
      <c r="H13" s="541">
        <f t="shared" si="7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8">SUM(V5:V12)</f>
        <v>-1883329.5456927749</v>
      </c>
      <c r="W13" s="541">
        <f t="shared" si="8"/>
        <v>-872806.43822777225</v>
      </c>
      <c r="X13" s="541">
        <f t="shared" si="8"/>
        <v>-2959310.535139773</v>
      </c>
      <c r="Y13" s="541">
        <f>SUM(Y5:Y12)</f>
        <v>-3131335.1133777718</v>
      </c>
      <c r="Z13" s="541">
        <f t="shared" ref="Z13:AF13" si="9">SUM(Z5:Z12)</f>
        <v>-3303665.3888877728</v>
      </c>
      <c r="AA13" s="541">
        <f t="shared" si="9"/>
        <v>-3655951.1713057715</v>
      </c>
      <c r="AB13" s="541">
        <f t="shared" si="9"/>
        <v>-3747278.07094577</v>
      </c>
      <c r="AC13" s="541">
        <f t="shared" si="9"/>
        <v>-4948357.8050077725</v>
      </c>
      <c r="AD13" s="541">
        <f t="shared" si="9"/>
        <v>-6093381.4883727729</v>
      </c>
      <c r="AE13" s="541">
        <f t="shared" si="9"/>
        <v>-7722519.1945627714</v>
      </c>
      <c r="AF13" s="541">
        <f t="shared" si="9"/>
        <v>-7743434.3545627715</v>
      </c>
    </row>
    <row r="14" spans="1:39" ht="16" thickTop="1">
      <c r="B14" s="481" t="s">
        <v>260</v>
      </c>
      <c r="E14" s="482" t="e">
        <f ca="1">_xll.Get_Balance(E3,"YTD","USD","Total","A","","001",$A$3,"GD","WA","DL")</f>
        <v>#NAME?</v>
      </c>
      <c r="F14" s="482" t="e">
        <f ca="1">_xll.Get_Balance(F3,"YTD","USD","Total","A","","001",$A$3,"GD","WA","DL")</f>
        <v>#NAME?</v>
      </c>
      <c r="G14" s="482" t="e">
        <f ca="1">_xll.Get_Balance(G3,"YTD","USD","Total","A","","001",$A$3,"GD","WA","DL")</f>
        <v>#NAME?</v>
      </c>
      <c r="H14" s="482" t="e">
        <f ca="1">_xll.Get_Balance(H3,"YTD","USD","Total","A","","001",$A$3,"GD","WA","DL")</f>
        <v>#NAME?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 t="e">
        <f ca="1">_xll.Get_Balance(V3,"YTD","USD","Total","A","","001",$A$3,"GD","WA","DL")</f>
        <v>#NAME?</v>
      </c>
      <c r="W14" s="482" t="e">
        <f ca="1">_xll.Get_Balance(W3,"YTD","USD","Total","A","","001",$A$3,"GD","WA","DL")</f>
        <v>#NAME?</v>
      </c>
      <c r="X14" s="482" t="e">
        <f ca="1">_xll.Get_Balance(X3,"YTD","USD","Total","A","","001",$A$3,"GD","WA","DL")</f>
        <v>#NAME?</v>
      </c>
      <c r="Y14" s="482" t="e">
        <f ca="1">_xll.Get_Balance(Y3,"YTD","USD","Total","A","","001",$A$3,"GD","WA","DL")</f>
        <v>#NAME?</v>
      </c>
      <c r="Z14" s="482" t="e">
        <f ca="1">_xll.Get_Balance(Z3,"YTD","USD","Total","A","","001",$A$3,"GD","WA","DL")</f>
        <v>#NAME?</v>
      </c>
      <c r="AA14" s="482" t="e">
        <f ca="1">_xll.Get_Balance(AA3,"YTD","USD","Total","A","","001",$A$3,"GD","WA","DL")</f>
        <v>#NAME?</v>
      </c>
      <c r="AB14" s="482" t="e">
        <f ca="1">_xll.Get_Balance(AB3,"YTD","USD","Total","A","","001",$A$3,"GD","WA","DL")</f>
        <v>#NAME?</v>
      </c>
      <c r="AC14" s="482" t="e">
        <f ca="1">_xll.Get_Balance(AC3,"YTD","USD","Total","A","","001",$A$3,"GD","WA","DL")</f>
        <v>#NAME?</v>
      </c>
      <c r="AD14" s="482" t="e">
        <f ca="1">_xll.Get_Balance(AD3,"YTD","USD","Total","A","","001",$A$3,"GD","WA","DL")</f>
        <v>#NAME?</v>
      </c>
      <c r="AE14" s="482" t="e">
        <f ca="1">_xll.Get_Balance(AE3,"YTD","USD","Total","A","","001",$A$3,"GD","WA","DL")</f>
        <v>#NAME?</v>
      </c>
      <c r="AF14" s="482" t="e">
        <f ca="1">_xll.Get_Balance(AF3,"YTD","USD","Total","A","","001",$A$3,"GD","WA","DL")</f>
        <v>#NAME?</v>
      </c>
    </row>
    <row r="15" spans="1:39">
      <c r="B15" s="481" t="s">
        <v>245</v>
      </c>
      <c r="E15" s="482" t="e">
        <f t="shared" ref="E15:H15" ca="1" si="10">E13-E14</f>
        <v>#NAME?</v>
      </c>
      <c r="F15" s="482" t="e">
        <f t="shared" ca="1" si="10"/>
        <v>#NAME?</v>
      </c>
      <c r="G15" s="482" t="e">
        <f t="shared" ca="1" si="10"/>
        <v>#NAME?</v>
      </c>
      <c r="H15" s="482" t="e">
        <f t="shared" ca="1" si="10"/>
        <v>#NAME?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 t="e">
        <f t="shared" ref="V15:AF15" ca="1" si="11">V13-V14</f>
        <v>#NAME?</v>
      </c>
      <c r="W15" s="482" t="e">
        <f t="shared" ca="1" si="11"/>
        <v>#NAME?</v>
      </c>
      <c r="X15" s="482" t="e">
        <f t="shared" ca="1" si="11"/>
        <v>#NAME?</v>
      </c>
      <c r="Y15" s="482" t="e">
        <f t="shared" ca="1" si="11"/>
        <v>#NAME?</v>
      </c>
      <c r="Z15" s="482" t="e">
        <f t="shared" ca="1" si="11"/>
        <v>#NAME?</v>
      </c>
      <c r="AA15" s="482" t="e">
        <f t="shared" ca="1" si="11"/>
        <v>#NAME?</v>
      </c>
      <c r="AB15" s="482" t="e">
        <f t="shared" ca="1" si="11"/>
        <v>#NAME?</v>
      </c>
      <c r="AC15" s="482" t="e">
        <f t="shared" ca="1" si="11"/>
        <v>#NAME?</v>
      </c>
      <c r="AD15" s="482" t="e">
        <f t="shared" ca="1" si="11"/>
        <v>#NAME?</v>
      </c>
      <c r="AE15" s="482" t="e">
        <f t="shared" ca="1" si="11"/>
        <v>#NAME?</v>
      </c>
      <c r="AF15" s="482" t="e">
        <f t="shared" ca="1" si="11"/>
        <v>#NAME?</v>
      </c>
    </row>
    <row r="16" spans="1:39">
      <c r="A16" s="483" t="s">
        <v>268</v>
      </c>
    </row>
    <row r="17" spans="1:33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</row>
    <row r="18" spans="1:33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</row>
    <row r="19" spans="1:33">
      <c r="A19" s="483"/>
      <c r="B19" s="481" t="s">
        <v>37</v>
      </c>
      <c r="C19" s="491">
        <f>SUM(U19:AF19)</f>
        <v>83964548</v>
      </c>
      <c r="D19" s="491">
        <f t="shared" ref="D19:D28" si="14">SUM(G19:R19)</f>
        <v>118507804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f>Feb!$G23</f>
        <v>13011547</v>
      </c>
      <c r="W19" s="543">
        <f>Mar!$G23</f>
        <v>10479005</v>
      </c>
      <c r="X19" s="543">
        <f>Apr!$G23</f>
        <v>7714478</v>
      </c>
      <c r="Y19" s="543">
        <f>May!$G23</f>
        <v>3297360</v>
      </c>
      <c r="Z19" s="543">
        <f>Jun!$G23</f>
        <v>1968489</v>
      </c>
      <c r="AA19" s="543">
        <f>Jul!$G23</f>
        <v>2145139</v>
      </c>
      <c r="AB19" s="543">
        <f>Aug!$G23</f>
        <v>1956853</v>
      </c>
      <c r="AC19" s="543">
        <f>Sep!$G23</f>
        <v>3273457</v>
      </c>
      <c r="AD19" s="543">
        <f>Oct!$G23</f>
        <v>4833518</v>
      </c>
      <c r="AE19" s="543">
        <f>Nov!$G23</f>
        <v>15375028</v>
      </c>
      <c r="AF19" s="543">
        <f>Dec!$G23</f>
        <v>0</v>
      </c>
    </row>
    <row r="20" spans="1:33">
      <c r="A20" s="483"/>
      <c r="B20" s="481" t="s">
        <v>38</v>
      </c>
      <c r="C20" s="491">
        <f t="shared" ref="C20:C27" si="15">SUM(U20:AF20)</f>
        <v>35336899</v>
      </c>
      <c r="D20" s="491">
        <f t="shared" si="14"/>
        <v>47081391</v>
      </c>
      <c r="E20" s="491">
        <v>1599551</v>
      </c>
      <c r="F20" s="491">
        <v>3880001</v>
      </c>
      <c r="G20" s="491">
        <v>5651303</v>
      </c>
      <c r="H20" s="491">
        <v>7518125</v>
      </c>
      <c r="I20" s="543">
        <v>7025543</v>
      </c>
      <c r="J20" s="543">
        <v>6903553</v>
      </c>
      <c r="K20" s="543">
        <v>5310734</v>
      </c>
      <c r="L20" s="543">
        <v>3390429</v>
      </c>
      <c r="M20" s="543">
        <v>2183609</v>
      </c>
      <c r="N20" s="543">
        <v>1741655</v>
      </c>
      <c r="O20" s="543">
        <v>1476567</v>
      </c>
      <c r="P20" s="543">
        <v>1364087</v>
      </c>
      <c r="Q20" s="543">
        <v>1739755</v>
      </c>
      <c r="R20" s="543">
        <v>2776031</v>
      </c>
      <c r="S20" s="543">
        <v>6141604</v>
      </c>
      <c r="T20" s="543">
        <v>6045485</v>
      </c>
      <c r="U20" s="543">
        <v>6173752</v>
      </c>
      <c r="V20" s="543">
        <f>Feb!$G24</f>
        <v>5630395</v>
      </c>
      <c r="W20" s="543">
        <f>Mar!$G24</f>
        <v>4030672</v>
      </c>
      <c r="X20" s="543">
        <f>Apr!$G24</f>
        <v>3448422</v>
      </c>
      <c r="Y20" s="543">
        <f>May!$G24</f>
        <v>1901440</v>
      </c>
      <c r="Z20" s="543">
        <f>Jun!$G24</f>
        <v>1561904</v>
      </c>
      <c r="AA20" s="543">
        <f>Jul!$G24</f>
        <v>1323231</v>
      </c>
      <c r="AB20" s="543">
        <f>Aug!$G24</f>
        <v>1284422</v>
      </c>
      <c r="AC20" s="543">
        <f>Sep!$G24</f>
        <v>1854848</v>
      </c>
      <c r="AD20" s="543">
        <f>Oct!$G25</f>
        <v>2624293</v>
      </c>
      <c r="AE20" s="543">
        <f>Nov!$G25</f>
        <v>5503520</v>
      </c>
      <c r="AF20" s="543">
        <f>Dec!$G24</f>
        <v>0</v>
      </c>
    </row>
    <row r="21" spans="1:33" hidden="1">
      <c r="A21" s="483"/>
      <c r="B21" s="481" t="s">
        <v>39</v>
      </c>
      <c r="C21" s="491">
        <f t="shared" si="15"/>
        <v>0</v>
      </c>
      <c r="D21" s="491">
        <f t="shared" si="14"/>
        <v>0</v>
      </c>
      <c r="E21" s="491">
        <v>0</v>
      </c>
      <c r="F21" s="491">
        <v>0</v>
      </c>
      <c r="G21" s="491">
        <v>0</v>
      </c>
      <c r="H21" s="491">
        <v>0</v>
      </c>
      <c r="I21" s="543"/>
      <c r="J21" s="543"/>
      <c r="K21" s="543"/>
      <c r="L21" s="543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3"/>
      <c r="AF21" s="543"/>
    </row>
    <row r="22" spans="1:33">
      <c r="A22" s="483"/>
      <c r="B22" s="481" t="s">
        <v>40</v>
      </c>
      <c r="C22" s="491">
        <f t="shared" si="15"/>
        <v>4051936</v>
      </c>
      <c r="D22" s="491">
        <f t="shared" si="14"/>
        <v>4993299</v>
      </c>
      <c r="E22" s="491">
        <v>344046</v>
      </c>
      <c r="F22" s="491">
        <v>595792</v>
      </c>
      <c r="G22" s="491">
        <v>396185</v>
      </c>
      <c r="H22" s="491">
        <v>588721</v>
      </c>
      <c r="I22" s="543">
        <v>534459</v>
      </c>
      <c r="J22" s="543">
        <v>540817</v>
      </c>
      <c r="K22" s="543">
        <v>425342</v>
      </c>
      <c r="L22" s="543">
        <v>407197</v>
      </c>
      <c r="M22" s="543">
        <v>340947</v>
      </c>
      <c r="N22" s="543">
        <v>361843</v>
      </c>
      <c r="O22" s="543">
        <v>251184</v>
      </c>
      <c r="P22" s="543">
        <v>332621</v>
      </c>
      <c r="Q22" s="543">
        <v>330926</v>
      </c>
      <c r="R22" s="543">
        <v>483057</v>
      </c>
      <c r="S22" s="543">
        <v>518418</v>
      </c>
      <c r="T22" s="543">
        <v>377457</v>
      </c>
      <c r="U22" s="543">
        <v>513680</v>
      </c>
      <c r="V22" s="543">
        <f>Feb!$G26</f>
        <v>431734</v>
      </c>
      <c r="W22" s="543">
        <f>Mar!$G26</f>
        <v>335852</v>
      </c>
      <c r="X22" s="543">
        <f>Apr!$G26</f>
        <v>432834</v>
      </c>
      <c r="Y22" s="543">
        <f>May!$G26</f>
        <v>249954</v>
      </c>
      <c r="Z22" s="543">
        <f>Jun!$G26</f>
        <v>322862</v>
      </c>
      <c r="AA22" s="543">
        <f>Jul!$G26</f>
        <v>247078</v>
      </c>
      <c r="AB22" s="543">
        <f>Aug!$G26</f>
        <v>274690</v>
      </c>
      <c r="AC22" s="543">
        <f>Sep!$G26</f>
        <v>336073</v>
      </c>
      <c r="AD22" s="543">
        <f>Oct!$G27</f>
        <v>365802</v>
      </c>
      <c r="AE22" s="543">
        <f>Nov!$G27</f>
        <v>541377</v>
      </c>
      <c r="AF22" s="543">
        <f>Dec!$G26</f>
        <v>0</v>
      </c>
    </row>
    <row r="23" spans="1:33" hidden="1">
      <c r="A23" s="483"/>
      <c r="B23" s="481" t="s">
        <v>41</v>
      </c>
      <c r="C23" s="491">
        <f t="shared" si="15"/>
        <v>0</v>
      </c>
      <c r="D23" s="491">
        <f t="shared" si="14"/>
        <v>0</v>
      </c>
      <c r="E23" s="491">
        <v>0</v>
      </c>
      <c r="F23" s="491">
        <v>0</v>
      </c>
      <c r="G23" s="491">
        <v>0</v>
      </c>
      <c r="H23" s="491">
        <v>0</v>
      </c>
      <c r="I23" s="543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3"/>
      <c r="AC23" s="543"/>
      <c r="AD23" s="543"/>
      <c r="AE23" s="543"/>
      <c r="AF23" s="543"/>
    </row>
    <row r="24" spans="1:33">
      <c r="A24" s="483"/>
      <c r="B24" s="481" t="s">
        <v>42</v>
      </c>
      <c r="C24" s="491">
        <f t="shared" si="15"/>
        <v>0</v>
      </c>
      <c r="D24" s="491">
        <f t="shared" si="14"/>
        <v>0</v>
      </c>
      <c r="E24" s="491">
        <v>0</v>
      </c>
      <c r="F24" s="491">
        <v>0</v>
      </c>
      <c r="G24" s="491">
        <v>0</v>
      </c>
      <c r="H24" s="491">
        <v>0</v>
      </c>
      <c r="I24" s="543">
        <v>0</v>
      </c>
      <c r="J24" s="543">
        <v>0</v>
      </c>
      <c r="K24" s="543">
        <v>0</v>
      </c>
      <c r="L24" s="543">
        <v>0</v>
      </c>
      <c r="M24" s="543">
        <v>0</v>
      </c>
      <c r="N24" s="543">
        <v>0</v>
      </c>
      <c r="O24" s="543">
        <v>0</v>
      </c>
      <c r="P24" s="543">
        <v>0</v>
      </c>
      <c r="Q24" s="543">
        <v>0</v>
      </c>
      <c r="R24" s="543">
        <v>0</v>
      </c>
      <c r="S24" s="543">
        <v>0</v>
      </c>
      <c r="T24" s="543">
        <v>0</v>
      </c>
      <c r="U24" s="543">
        <v>0</v>
      </c>
      <c r="V24" s="543">
        <f>Feb!$G28</f>
        <v>0</v>
      </c>
      <c r="W24" s="543">
        <f>Mar!$G28</f>
        <v>0</v>
      </c>
      <c r="X24" s="543">
        <f>Apr!$G28</f>
        <v>0</v>
      </c>
      <c r="Y24" s="543">
        <f>May!$G28</f>
        <v>0</v>
      </c>
      <c r="Z24" s="543">
        <f>Jun!$G28</f>
        <v>0</v>
      </c>
      <c r="AA24" s="543">
        <f>Jul!$G28</f>
        <v>0</v>
      </c>
      <c r="AB24" s="543">
        <f>Aug!$G28</f>
        <v>0</v>
      </c>
      <c r="AC24" s="543">
        <f>Sep!$G28</f>
        <v>0</v>
      </c>
      <c r="AD24" s="543">
        <f>Oct!$G29</f>
        <v>0</v>
      </c>
      <c r="AE24" s="543">
        <f>Nov!$G29</f>
        <v>0</v>
      </c>
      <c r="AF24" s="543">
        <f>Dec!$G28</f>
        <v>0</v>
      </c>
    </row>
    <row r="25" spans="1:33" hidden="1">
      <c r="A25" s="483"/>
      <c r="B25" s="481" t="s">
        <v>43</v>
      </c>
      <c r="C25" s="491">
        <f t="shared" si="15"/>
        <v>0</v>
      </c>
      <c r="D25" s="491">
        <f t="shared" si="14"/>
        <v>0</v>
      </c>
      <c r="E25" s="491">
        <v>0</v>
      </c>
      <c r="F25" s="491">
        <v>0</v>
      </c>
      <c r="G25" s="491">
        <v>0</v>
      </c>
      <c r="H25" s="491">
        <v>0</v>
      </c>
      <c r="I25" s="543"/>
      <c r="J25" s="543"/>
      <c r="K25" s="543"/>
      <c r="L25" s="543"/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3"/>
      <c r="AF25" s="543"/>
    </row>
    <row r="26" spans="1:33">
      <c r="A26" s="483"/>
      <c r="B26" s="481" t="s">
        <v>74</v>
      </c>
      <c r="C26" s="491">
        <f t="shared" si="15"/>
        <v>26235211</v>
      </c>
      <c r="D26" s="491">
        <f t="shared" si="14"/>
        <v>30501971</v>
      </c>
      <c r="E26" s="491">
        <v>1818699</v>
      </c>
      <c r="F26" s="491">
        <v>2531895</v>
      </c>
      <c r="G26" s="491">
        <v>2936207</v>
      </c>
      <c r="H26" s="491">
        <v>3675604</v>
      </c>
      <c r="I26" s="543">
        <v>3517013</v>
      </c>
      <c r="J26" s="543">
        <v>3103551</v>
      </c>
      <c r="K26" s="543">
        <v>2882510</v>
      </c>
      <c r="L26" s="543">
        <v>2426511</v>
      </c>
      <c r="M26" s="543">
        <v>2096539</v>
      </c>
      <c r="N26" s="543">
        <v>1865473</v>
      </c>
      <c r="O26" s="543">
        <v>1934510</v>
      </c>
      <c r="P26" s="543">
        <v>1781233</v>
      </c>
      <c r="Q26" s="543">
        <v>1975142</v>
      </c>
      <c r="R26" s="543">
        <v>2307678</v>
      </c>
      <c r="S26" s="543">
        <v>3052956</v>
      </c>
      <c r="T26" s="543">
        <v>3180451</v>
      </c>
      <c r="U26" s="543">
        <v>3286166</v>
      </c>
      <c r="V26" s="543">
        <f>Feb!$G30</f>
        <v>2735718</v>
      </c>
      <c r="W26" s="543">
        <f>Mar!$G30</f>
        <v>2608561</v>
      </c>
      <c r="X26" s="543">
        <f>Apr!$G30</f>
        <v>2436951</v>
      </c>
      <c r="Y26" s="543">
        <f>May!$G30</f>
        <v>2203136</v>
      </c>
      <c r="Z26" s="543">
        <f>Jun!$G30</f>
        <v>1941783</v>
      </c>
      <c r="AA26" s="543">
        <f>Jul!$G30</f>
        <v>1912819</v>
      </c>
      <c r="AB26" s="543">
        <f>Aug!$G30</f>
        <v>1943542</v>
      </c>
      <c r="AC26" s="543">
        <f>Sep!$G30</f>
        <v>1945064</v>
      </c>
      <c r="AD26" s="543">
        <f>Oct!$G31</f>
        <v>2201297</v>
      </c>
      <c r="AE26" s="543">
        <f>Nov!$G31</f>
        <v>3020174</v>
      </c>
      <c r="AF26" s="543">
        <f>Dec!$G30</f>
        <v>0</v>
      </c>
    </row>
    <row r="27" spans="1:33" ht="16" thickBot="1">
      <c r="A27" s="483"/>
      <c r="B27" s="481" t="s">
        <v>21</v>
      </c>
      <c r="C27" s="491">
        <f t="shared" si="15"/>
        <v>149588594</v>
      </c>
      <c r="D27" s="542">
        <f t="shared" si="14"/>
        <v>201084465</v>
      </c>
      <c r="E27" s="542">
        <f>SUM(E19:E26)</f>
        <v>6409834</v>
      </c>
      <c r="F27" s="542">
        <f>SUM(F19:F26)</f>
        <v>16252041</v>
      </c>
      <c r="G27" s="542">
        <f t="shared" ref="G27:H27" si="16">SUM(G19:G26)</f>
        <v>24054373</v>
      </c>
      <c r="H27" s="542">
        <f t="shared" si="16"/>
        <v>34418458</v>
      </c>
      <c r="I27" s="542">
        <v>31759465</v>
      </c>
      <c r="J27" s="542">
        <v>30732294</v>
      </c>
      <c r="K27" s="542">
        <v>22715329</v>
      </c>
      <c r="L27" s="542">
        <v>14000465</v>
      </c>
      <c r="M27" s="542">
        <v>8312398</v>
      </c>
      <c r="N27" s="542">
        <v>6514751</v>
      </c>
      <c r="O27" s="542">
        <v>5757349</v>
      </c>
      <c r="P27" s="542">
        <v>5525718</v>
      </c>
      <c r="Q27" s="542">
        <v>6773435</v>
      </c>
      <c r="R27" s="542">
        <v>10520430</v>
      </c>
      <c r="S27" s="542">
        <v>25535994</v>
      </c>
      <c r="T27" s="542">
        <v>28660002</v>
      </c>
      <c r="U27" s="542">
        <v>29883272</v>
      </c>
      <c r="V27" s="542">
        <f t="shared" ref="V27:AF27" si="17">SUM(V19:V26)</f>
        <v>21809394</v>
      </c>
      <c r="W27" s="542">
        <f t="shared" si="17"/>
        <v>17454090</v>
      </c>
      <c r="X27" s="542">
        <f t="shared" si="17"/>
        <v>14032685</v>
      </c>
      <c r="Y27" s="542">
        <f t="shared" si="17"/>
        <v>7651890</v>
      </c>
      <c r="Z27" s="542">
        <f t="shared" si="17"/>
        <v>5795038</v>
      </c>
      <c r="AA27" s="542">
        <f t="shared" si="17"/>
        <v>5628267</v>
      </c>
      <c r="AB27" s="542">
        <f t="shared" si="17"/>
        <v>5459507</v>
      </c>
      <c r="AC27" s="542">
        <f t="shared" si="17"/>
        <v>7409442</v>
      </c>
      <c r="AD27" s="542">
        <f t="shared" si="17"/>
        <v>10024910</v>
      </c>
      <c r="AE27" s="542">
        <f t="shared" si="17"/>
        <v>24440099</v>
      </c>
      <c r="AF27" s="542">
        <f t="shared" si="17"/>
        <v>0</v>
      </c>
    </row>
    <row r="28" spans="1:33" ht="16" thickTop="1">
      <c r="A28" s="483"/>
      <c r="B28" s="481" t="s">
        <v>269</v>
      </c>
      <c r="C28" s="491">
        <f>SUM(U28:AF28)</f>
        <v>96626369</v>
      </c>
      <c r="D28" s="491">
        <f t="shared" si="14"/>
        <v>201084465</v>
      </c>
      <c r="E28" s="491">
        <v>6409834</v>
      </c>
      <c r="F28" s="491">
        <v>16252041</v>
      </c>
      <c r="G28" s="491">
        <v>24054373</v>
      </c>
      <c r="H28" s="491">
        <v>34418458</v>
      </c>
      <c r="I28" s="491">
        <v>31759465</v>
      </c>
      <c r="J28" s="491">
        <v>30732294</v>
      </c>
      <c r="K28" s="491">
        <v>22715329</v>
      </c>
      <c r="L28" s="491">
        <v>14000465</v>
      </c>
      <c r="M28" s="491">
        <v>8312398</v>
      </c>
      <c r="N28" s="491">
        <v>6514751</v>
      </c>
      <c r="O28" s="491">
        <v>5757349</v>
      </c>
      <c r="P28" s="491">
        <v>5525718</v>
      </c>
      <c r="Q28" s="491">
        <v>6773435</v>
      </c>
      <c r="R28" s="491">
        <v>10520430</v>
      </c>
      <c r="S28" s="491">
        <v>25535994</v>
      </c>
      <c r="T28" s="491">
        <v>28660002</v>
      </c>
      <c r="U28" s="491">
        <v>29883272</v>
      </c>
      <c r="V28" s="491">
        <v>21809394</v>
      </c>
      <c r="W28" s="491">
        <v>17454090</v>
      </c>
      <c r="X28" s="491">
        <v>14032685</v>
      </c>
      <c r="Y28" s="491">
        <v>7651890</v>
      </c>
      <c r="Z28" s="491">
        <v>5795038</v>
      </c>
      <c r="AA28" s="491"/>
      <c r="AB28" s="491"/>
      <c r="AC28" s="491"/>
      <c r="AD28" s="491"/>
      <c r="AE28" s="491"/>
      <c r="AF28" s="491"/>
      <c r="AG28" s="491"/>
    </row>
    <row r="29" spans="1:33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</row>
    <row r="30" spans="1:33">
      <c r="A30" s="484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D30" si="18">U30+1</f>
        <v>201502</v>
      </c>
      <c r="W30" s="484">
        <f t="shared" si="18"/>
        <v>201503</v>
      </c>
      <c r="X30" s="484">
        <f t="shared" si="18"/>
        <v>201504</v>
      </c>
      <c r="Y30" s="484">
        <f t="shared" si="18"/>
        <v>201505</v>
      </c>
      <c r="Z30" s="484">
        <f t="shared" si="18"/>
        <v>201506</v>
      </c>
      <c r="AA30" s="484">
        <f t="shared" si="18"/>
        <v>201507</v>
      </c>
      <c r="AB30" s="484">
        <f t="shared" si="18"/>
        <v>201508</v>
      </c>
      <c r="AC30" s="484">
        <f t="shared" si="18"/>
        <v>201509</v>
      </c>
      <c r="AD30" s="484">
        <f t="shared" si="18"/>
        <v>201510</v>
      </c>
      <c r="AE30" s="484">
        <f>AD30+1</f>
        <v>201511</v>
      </c>
      <c r="AF30" s="484">
        <f t="shared" ref="AF30" si="19">AE30+1</f>
        <v>201512</v>
      </c>
    </row>
    <row r="31" spans="1:33">
      <c r="A31" s="483"/>
      <c r="B31" s="481" t="s">
        <v>37</v>
      </c>
      <c r="E31" s="492">
        <v>3.3950000000000001E-2</v>
      </c>
      <c r="F31" s="492">
        <v>3.3950000000000001E-2</v>
      </c>
      <c r="G31" s="496" t="s">
        <v>270</v>
      </c>
      <c r="H31" s="496" t="s">
        <v>270</v>
      </c>
      <c r="I31" s="492">
        <v>-2.9299999999999999E-3</v>
      </c>
      <c r="J31" s="492">
        <v>-2.9299999999999999E-3</v>
      </c>
      <c r="K31" s="492">
        <v>-2.9299999999999999E-3</v>
      </c>
      <c r="L31" s="492">
        <v>-2.9299999999999999E-3</v>
      </c>
      <c r="M31" s="492">
        <v>-2.9299999999999999E-3</v>
      </c>
      <c r="N31" s="492">
        <v>-2.9299999999999999E-3</v>
      </c>
      <c r="O31" s="492">
        <v>-2.9299999999999999E-3</v>
      </c>
      <c r="P31" s="492">
        <v>-2.9299999999999999E-3</v>
      </c>
      <c r="Q31" s="492">
        <v>-2.9299999999999999E-3</v>
      </c>
      <c r="R31" s="492">
        <v>-2.9299999999999999E-3</v>
      </c>
      <c r="S31" s="496" t="s">
        <v>270</v>
      </c>
      <c r="T31" s="496" t="s">
        <v>270</v>
      </c>
      <c r="U31" s="492">
        <v>1.436E-2</v>
      </c>
      <c r="V31" s="492">
        <v>1.436E-2</v>
      </c>
      <c r="W31" s="492">
        <v>1.436E-2</v>
      </c>
      <c r="X31" s="492">
        <v>1.436E-2</v>
      </c>
      <c r="Y31" s="492">
        <v>1.436E-2</v>
      </c>
      <c r="Z31" s="492">
        <v>1.436E-2</v>
      </c>
      <c r="AA31" s="492">
        <v>1.436E-2</v>
      </c>
      <c r="AB31" s="492">
        <v>1.436E-2</v>
      </c>
      <c r="AC31" s="492">
        <v>1.436E-2</v>
      </c>
      <c r="AD31" s="492">
        <v>1.436E-2</v>
      </c>
      <c r="AE31" s="496" t="s">
        <v>270</v>
      </c>
      <c r="AF31" s="496" t="s">
        <v>270</v>
      </c>
    </row>
    <row r="32" spans="1:33">
      <c r="A32" s="483"/>
      <c r="B32" s="481" t="s">
        <v>38</v>
      </c>
      <c r="E32" s="492">
        <v>3.0599999999999999E-2</v>
      </c>
      <c r="F32" s="492">
        <v>3.0599999999999999E-2</v>
      </c>
      <c r="G32" s="496" t="s">
        <v>270</v>
      </c>
      <c r="H32" s="496" t="s">
        <v>270</v>
      </c>
      <c r="I32" s="492">
        <v>-5.5599999999999998E-3</v>
      </c>
      <c r="J32" s="492">
        <v>-5.5599999999999998E-3</v>
      </c>
      <c r="K32" s="492">
        <v>-5.5599999999999998E-3</v>
      </c>
      <c r="L32" s="492">
        <v>-5.5599999999999998E-3</v>
      </c>
      <c r="M32" s="492">
        <v>-5.5599999999999998E-3</v>
      </c>
      <c r="N32" s="492">
        <v>-5.5599999999999998E-3</v>
      </c>
      <c r="O32" s="492">
        <v>-5.5599999999999998E-3</v>
      </c>
      <c r="P32" s="492">
        <v>-5.5599999999999998E-3</v>
      </c>
      <c r="Q32" s="492">
        <v>-5.5599999999999998E-3</v>
      </c>
      <c r="R32" s="492">
        <v>-5.5599999999999998E-3</v>
      </c>
      <c r="S32" s="496" t="s">
        <v>270</v>
      </c>
      <c r="T32" s="496" t="s">
        <v>270</v>
      </c>
      <c r="U32" s="492">
        <v>8.0800000000000004E-3</v>
      </c>
      <c r="V32" s="492">
        <v>8.0800000000000004E-3</v>
      </c>
      <c r="W32" s="492">
        <v>8.0800000000000004E-3</v>
      </c>
      <c r="X32" s="492">
        <v>8.0800000000000004E-3</v>
      </c>
      <c r="Y32" s="492">
        <v>8.0800000000000004E-3</v>
      </c>
      <c r="Z32" s="492">
        <v>8.0800000000000004E-3</v>
      </c>
      <c r="AA32" s="492">
        <v>8.0800000000000004E-3</v>
      </c>
      <c r="AB32" s="492">
        <v>8.0800000000000004E-3</v>
      </c>
      <c r="AC32" s="492">
        <v>8.0800000000000004E-3</v>
      </c>
      <c r="AD32" s="492">
        <v>8.0800000000000004E-3</v>
      </c>
      <c r="AE32" s="496" t="s">
        <v>270</v>
      </c>
      <c r="AF32" s="496" t="s">
        <v>270</v>
      </c>
    </row>
    <row r="33" spans="1:39" hidden="1">
      <c r="A33" s="483"/>
      <c r="B33" s="481" t="s">
        <v>39</v>
      </c>
      <c r="E33" s="492"/>
      <c r="F33" s="492"/>
      <c r="G33" s="496" t="s">
        <v>270</v>
      </c>
      <c r="H33" s="496" t="s">
        <v>270</v>
      </c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 t="s">
        <v>270</v>
      </c>
      <c r="T33" s="496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6" t="s">
        <v>270</v>
      </c>
      <c r="AF33" s="496" t="s">
        <v>270</v>
      </c>
    </row>
    <row r="34" spans="1:39">
      <c r="A34" s="483"/>
      <c r="B34" s="481" t="s">
        <v>40</v>
      </c>
      <c r="E34" s="492">
        <v>2.998E-2</v>
      </c>
      <c r="F34" s="492">
        <v>2.998E-2</v>
      </c>
      <c r="G34" s="496" t="s">
        <v>270</v>
      </c>
      <c r="H34" s="496" t="s">
        <v>270</v>
      </c>
      <c r="I34" s="492">
        <v>-1.5820000000000001E-2</v>
      </c>
      <c r="J34" s="492">
        <v>-1.5820000000000001E-2</v>
      </c>
      <c r="K34" s="492">
        <v>-1.5820000000000001E-2</v>
      </c>
      <c r="L34" s="492">
        <v>-1.5820000000000001E-2</v>
      </c>
      <c r="M34" s="492">
        <v>-1.5820000000000001E-2</v>
      </c>
      <c r="N34" s="492">
        <v>-1.5820000000000001E-2</v>
      </c>
      <c r="O34" s="492">
        <v>-1.5820000000000001E-2</v>
      </c>
      <c r="P34" s="492">
        <v>-1.5820000000000001E-2</v>
      </c>
      <c r="Q34" s="492">
        <v>-1.5820000000000001E-2</v>
      </c>
      <c r="R34" s="492">
        <v>-1.5820000000000001E-2</v>
      </c>
      <c r="S34" s="496" t="s">
        <v>270</v>
      </c>
      <c r="T34" s="496" t="s">
        <v>270</v>
      </c>
      <c r="U34" s="492">
        <v>-1.0359999999999999E-2</v>
      </c>
      <c r="V34" s="492">
        <v>-1.0359999999999999E-2</v>
      </c>
      <c r="W34" s="492">
        <v>-1.0359999999999999E-2</v>
      </c>
      <c r="X34" s="492">
        <v>-1.0359999999999999E-2</v>
      </c>
      <c r="Y34" s="492">
        <v>-1.0359999999999999E-2</v>
      </c>
      <c r="Z34" s="492">
        <v>-1.0359999999999999E-2</v>
      </c>
      <c r="AA34" s="492">
        <v>-1.0359999999999999E-2</v>
      </c>
      <c r="AB34" s="492">
        <v>-1.0359999999999999E-2</v>
      </c>
      <c r="AC34" s="492">
        <v>-1.0359999999999999E-2</v>
      </c>
      <c r="AD34" s="492">
        <v>-1.0359999999999999E-2</v>
      </c>
      <c r="AE34" s="496" t="s">
        <v>270</v>
      </c>
      <c r="AF34" s="496" t="s">
        <v>270</v>
      </c>
    </row>
    <row r="35" spans="1:39" hidden="1">
      <c r="A35" s="483"/>
      <c r="B35" s="481" t="s">
        <v>41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</row>
    <row r="36" spans="1:39" ht="16" thickBot="1">
      <c r="A36" s="483"/>
      <c r="B36" s="481" t="s">
        <v>42</v>
      </c>
      <c r="E36" s="492">
        <v>5.7389999999999997E-2</v>
      </c>
      <c r="F36" s="492">
        <v>5.7389999999999997E-2</v>
      </c>
      <c r="G36" s="496" t="s">
        <v>270</v>
      </c>
      <c r="H36" s="496" t="s">
        <v>270</v>
      </c>
      <c r="I36" s="492">
        <v>3.0499999999999999E-2</v>
      </c>
      <c r="J36" s="492">
        <v>3.0499999999999999E-2</v>
      </c>
      <c r="K36" s="492">
        <v>3.0499999999999999E-2</v>
      </c>
      <c r="L36" s="492">
        <v>3.0499999999999999E-2</v>
      </c>
      <c r="M36" s="492">
        <v>3.0499999999999999E-2</v>
      </c>
      <c r="N36" s="492">
        <v>3.0499999999999999E-2</v>
      </c>
      <c r="O36" s="492">
        <v>3.0499999999999999E-2</v>
      </c>
      <c r="P36" s="492">
        <v>3.0499999999999999E-2</v>
      </c>
      <c r="Q36" s="492">
        <v>3.0499999999999999E-2</v>
      </c>
      <c r="R36" s="492">
        <v>3.0499999999999999E-2</v>
      </c>
      <c r="S36" s="496" t="s">
        <v>270</v>
      </c>
      <c r="T36" s="496" t="s">
        <v>270</v>
      </c>
      <c r="U36" s="492">
        <v>-2.3310000000000001E-2</v>
      </c>
      <c r="V36" s="492">
        <v>-2.3310000000000001E-2</v>
      </c>
      <c r="W36" s="492">
        <v>-2.3310000000000001E-2</v>
      </c>
      <c r="X36" s="492">
        <v>-2.3310000000000001E-2</v>
      </c>
      <c r="Y36" s="492">
        <v>-2.3310000000000001E-2</v>
      </c>
      <c r="Z36" s="492">
        <v>-2.3310000000000001E-2</v>
      </c>
      <c r="AA36" s="492">
        <v>-2.3310000000000001E-2</v>
      </c>
      <c r="AB36" s="492">
        <v>-2.3310000000000001E-2</v>
      </c>
      <c r="AC36" s="492">
        <v>-2.3310000000000001E-2</v>
      </c>
      <c r="AD36" s="492">
        <v>-2.3310000000000001E-2</v>
      </c>
      <c r="AE36" s="496" t="s">
        <v>270</v>
      </c>
      <c r="AF36" s="496" t="s">
        <v>270</v>
      </c>
    </row>
    <row r="37" spans="1:39" ht="16" hidden="1" thickBot="1">
      <c r="A37" s="483"/>
      <c r="B37" s="481" t="s">
        <v>43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H37" s="483"/>
      <c r="AI37" s="484"/>
      <c r="AJ37" s="483"/>
      <c r="AK37" s="483"/>
      <c r="AL37" s="483"/>
      <c r="AM37" s="483"/>
    </row>
    <row r="38" spans="1:39" ht="16" thickBot="1">
      <c r="A38" s="483"/>
      <c r="B38" s="481" t="s">
        <v>74</v>
      </c>
      <c r="E38" s="492">
        <v>0</v>
      </c>
      <c r="F38" s="492">
        <v>0</v>
      </c>
      <c r="G38" s="496" t="s">
        <v>270</v>
      </c>
      <c r="H38" s="496" t="s">
        <v>270</v>
      </c>
      <c r="I38" s="492">
        <v>0</v>
      </c>
      <c r="J38" s="492">
        <v>0</v>
      </c>
      <c r="K38" s="492">
        <v>0</v>
      </c>
      <c r="L38" s="492">
        <v>0</v>
      </c>
      <c r="M38" s="492">
        <v>0</v>
      </c>
      <c r="N38" s="492">
        <v>0</v>
      </c>
      <c r="O38" s="492">
        <v>0</v>
      </c>
      <c r="P38" s="492">
        <v>0</v>
      </c>
      <c r="Q38" s="492">
        <v>0</v>
      </c>
      <c r="R38" s="492">
        <v>0</v>
      </c>
      <c r="S38" s="496" t="s">
        <v>270</v>
      </c>
      <c r="T38" s="496" t="s">
        <v>270</v>
      </c>
      <c r="U38" s="492">
        <v>0</v>
      </c>
      <c r="V38" s="492">
        <v>0</v>
      </c>
      <c r="W38" s="492">
        <v>0</v>
      </c>
      <c r="X38" s="492">
        <v>0</v>
      </c>
      <c r="Y38" s="492">
        <v>0</v>
      </c>
      <c r="Z38" s="492">
        <v>0</v>
      </c>
      <c r="AA38" s="492">
        <v>0</v>
      </c>
      <c r="AB38" s="492">
        <v>0</v>
      </c>
      <c r="AC38" s="492">
        <v>0</v>
      </c>
      <c r="AD38" s="492">
        <v>0</v>
      </c>
      <c r="AE38" s="496" t="s">
        <v>270</v>
      </c>
      <c r="AF38" s="496" t="s">
        <v>270</v>
      </c>
      <c r="AH38" s="513">
        <f>AH4</f>
        <v>201506</v>
      </c>
      <c r="AI38" s="526"/>
      <c r="AJ38" s="514"/>
      <c r="AK38" s="514"/>
      <c r="AL38" s="514"/>
      <c r="AM38" s="515"/>
    </row>
    <row r="39" spans="1:39">
      <c r="A39" s="483" t="s">
        <v>293</v>
      </c>
      <c r="E39" s="492"/>
      <c r="F39" s="492"/>
      <c r="G39" s="496"/>
      <c r="H39" s="496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H39" s="497" t="s">
        <v>298</v>
      </c>
      <c r="AI39" s="527">
        <v>419600</v>
      </c>
      <c r="AJ39" s="498" t="s">
        <v>288</v>
      </c>
      <c r="AK39" s="498" t="s">
        <v>289</v>
      </c>
      <c r="AL39" s="519">
        <v>0</v>
      </c>
      <c r="AM39" s="520">
        <f>IF(SUMIF(E40:AF40,AH38,E44:AF44)&gt;0,SUMIF(E40:AF40,AH38,E44:AF44),0)</f>
        <v>0</v>
      </c>
    </row>
    <row r="40" spans="1:39" s="483" customFormat="1">
      <c r="A40" s="484">
        <v>191000</v>
      </c>
      <c r="B40" s="485" t="s">
        <v>256</v>
      </c>
      <c r="C40" s="486" t="s">
        <v>251</v>
      </c>
      <c r="D40" s="685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D40" si="20">U40+1</f>
        <v>201502</v>
      </c>
      <c r="W40" s="484">
        <f t="shared" si="20"/>
        <v>201503</v>
      </c>
      <c r="X40" s="484">
        <f t="shared" si="20"/>
        <v>201504</v>
      </c>
      <c r="Y40" s="484">
        <f t="shared" si="20"/>
        <v>201505</v>
      </c>
      <c r="Z40" s="484">
        <f t="shared" si="20"/>
        <v>201506</v>
      </c>
      <c r="AA40" s="484">
        <f t="shared" si="20"/>
        <v>201507</v>
      </c>
      <c r="AB40" s="484">
        <f t="shared" si="20"/>
        <v>201508</v>
      </c>
      <c r="AC40" s="484">
        <f t="shared" si="20"/>
        <v>201509</v>
      </c>
      <c r="AD40" s="484">
        <f t="shared" si="20"/>
        <v>201510</v>
      </c>
      <c r="AE40" s="484">
        <f>AD40+1</f>
        <v>201511</v>
      </c>
      <c r="AF40" s="484">
        <f t="shared" ref="AF40" si="21">AE40+1</f>
        <v>201512</v>
      </c>
      <c r="AH40" s="499" t="s">
        <v>299</v>
      </c>
      <c r="AI40" s="528">
        <v>431600</v>
      </c>
      <c r="AJ40" s="358" t="s">
        <v>288</v>
      </c>
      <c r="AK40" s="358" t="s">
        <v>289</v>
      </c>
      <c r="AL40" s="381">
        <f>IF(SUMIF(E40:AF40,AH38,E44:AF44)&lt;0,-SUMIF(E40:AF40,AH38,E44:AF44),0)</f>
        <v>1603.6334834244467</v>
      </c>
      <c r="AM40" s="500">
        <v>0</v>
      </c>
    </row>
    <row r="41" spans="1:39" s="483" customFormat="1">
      <c r="B41" s="485" t="s">
        <v>257</v>
      </c>
      <c r="C41" s="482"/>
      <c r="E41" s="488">
        <v>3.2500000000000001E-2</v>
      </c>
      <c r="F41" s="488">
        <v>3.2500000000000001E-2</v>
      </c>
      <c r="G41" s="488">
        <v>3.2500000000000001E-2</v>
      </c>
      <c r="H41" s="488">
        <v>3.2500000000000001E-2</v>
      </c>
      <c r="I41" s="488">
        <v>3.2500000000000001E-2</v>
      </c>
      <c r="J41" s="488">
        <v>3.2500000000000001E-2</v>
      </c>
      <c r="K41" s="488">
        <v>3.2500000000000001E-2</v>
      </c>
      <c r="L41" s="488">
        <v>3.2500000000000001E-2</v>
      </c>
      <c r="M41" s="488">
        <v>3.2500000000000001E-2</v>
      </c>
      <c r="N41" s="488">
        <v>3.2500000000000001E-2</v>
      </c>
      <c r="O41" s="488">
        <v>3.2500000000000001E-2</v>
      </c>
      <c r="P41" s="488">
        <v>3.2500000000000001E-2</v>
      </c>
      <c r="Q41" s="488">
        <v>3.2500000000000001E-2</v>
      </c>
      <c r="R41" s="488">
        <v>3.2500000000000001E-2</v>
      </c>
      <c r="S41" s="488">
        <v>3.2500000000000001E-2</v>
      </c>
      <c r="T41" s="488">
        <v>3.2500000000000001E-2</v>
      </c>
      <c r="U41" s="488">
        <v>3.2500000000000001E-2</v>
      </c>
      <c r="V41" s="488">
        <v>3.2500000000000001E-2</v>
      </c>
      <c r="W41" s="488">
        <v>3.2500000000000001E-2</v>
      </c>
      <c r="X41" s="488">
        <v>3.2500000000000001E-2</v>
      </c>
      <c r="Y41" s="488">
        <v>3.2500000000000001E-2</v>
      </c>
      <c r="Z41" s="488">
        <v>3.2500000000000001E-2</v>
      </c>
      <c r="AA41" s="488">
        <v>3.2500000000000001E-2</v>
      </c>
      <c r="AB41" s="488">
        <v>3.2500000000000001E-2</v>
      </c>
      <c r="AC41" s="488">
        <v>3.2500000000000001E-2</v>
      </c>
      <c r="AD41" s="488">
        <v>3.2500000000000001E-2</v>
      </c>
      <c r="AE41" s="488">
        <v>3.2500000000000001E-2</v>
      </c>
      <c r="AF41" s="488">
        <v>3.2500000000000001E-2</v>
      </c>
      <c r="AH41" s="499" t="s">
        <v>300</v>
      </c>
      <c r="AI41" s="528">
        <v>191000</v>
      </c>
      <c r="AJ41" s="358" t="s">
        <v>288</v>
      </c>
      <c r="AK41" s="358" t="s">
        <v>289</v>
      </c>
      <c r="AL41" s="381">
        <f>IF((SUMIF(E40:AF40,AH38,E43:AF43)+SUMIF(E40:AF40,AH38,E44:AF44))&gt;0,(SUMIF(E40:AF40,AH38,E43:AF43)+SUMIF(E40:AF40,AH38,E44:AF44)),0)</f>
        <v>35939.202556575554</v>
      </c>
      <c r="AM41" s="500">
        <f>IF((SUMIF(E40:AF40,AH38,E43:AF43)+SUMIF(E40:AF40,AH38,E44:AF44))&lt;0,-(SUMIF(E40:AF40,AH38,E43:AF43)+SUMIF(E40:AF40,AH38,E44:AF44)),0)</f>
        <v>0</v>
      </c>
    </row>
    <row r="42" spans="1:39">
      <c r="A42" s="493"/>
      <c r="B42" s="481" t="s">
        <v>253</v>
      </c>
      <c r="E42" s="482">
        <v>-194854.27149590768</v>
      </c>
      <c r="F42" s="482">
        <f>E47</f>
        <v>-46035.360287444513</v>
      </c>
      <c r="G42" s="482">
        <f>F47</f>
        <v>404885.58467682183</v>
      </c>
      <c r="H42" s="482">
        <f>G47</f>
        <v>1486369.5928734979</v>
      </c>
      <c r="I42" s="482">
        <v>1388326.8065187801</v>
      </c>
      <c r="J42" s="482">
        <v>1256080.2312424269</v>
      </c>
      <c r="K42" s="482">
        <v>1153258.7731084346</v>
      </c>
      <c r="L42" s="482">
        <v>1078717.1045833002</v>
      </c>
      <c r="M42" s="482">
        <v>1033496.2426010612</v>
      </c>
      <c r="N42" s="482">
        <v>1007906.7387058339</v>
      </c>
      <c r="O42" s="482">
        <v>987738.42680743511</v>
      </c>
      <c r="P42" s="482">
        <v>972066.68936231779</v>
      </c>
      <c r="Q42" s="482">
        <v>955827.4742971377</v>
      </c>
      <c r="R42" s="482">
        <v>935484.97275235492</v>
      </c>
      <c r="S42" s="482">
        <v>900376.74388303224</v>
      </c>
      <c r="T42" s="482">
        <v>-1984640.7833043733</v>
      </c>
      <c r="U42" s="482">
        <v>-1530288.7769039478</v>
      </c>
      <c r="V42" s="482">
        <f>U47</f>
        <v>-1203520.6941716045</v>
      </c>
      <c r="W42" s="482">
        <f t="shared" ref="W42:AD42" si="22">V47</f>
        <v>-978605.01769356499</v>
      </c>
      <c r="X42" s="482">
        <f t="shared" si="22"/>
        <v>-801445.32791263924</v>
      </c>
      <c r="Y42" s="482">
        <f t="shared" si="22"/>
        <v>-669275.24177190254</v>
      </c>
      <c r="Z42" s="482">
        <f t="shared" si="22"/>
        <v>-610882.24266902648</v>
      </c>
      <c r="AA42" s="482">
        <f t="shared" si="22"/>
        <v>-574943.04011245095</v>
      </c>
      <c r="AB42" s="482">
        <f t="shared" si="22"/>
        <v>-537511.27700320142</v>
      </c>
      <c r="AC42" s="482">
        <f t="shared" si="22"/>
        <v>-503286.03358886426</v>
      </c>
      <c r="AD42" s="482">
        <f t="shared" si="22"/>
        <v>-446057.56644618412</v>
      </c>
      <c r="AE42" s="482">
        <f>AD47</f>
        <v>-360324.16779451753</v>
      </c>
      <c r="AF42" s="482">
        <f t="shared" ref="AF42" si="23">AE47</f>
        <v>-361300.04574896104</v>
      </c>
      <c r="AH42" s="499" t="s">
        <v>301</v>
      </c>
      <c r="AI42" s="528">
        <v>805110</v>
      </c>
      <c r="AJ42" s="358" t="s">
        <v>288</v>
      </c>
      <c r="AK42" s="358" t="s">
        <v>289</v>
      </c>
      <c r="AL42" s="381">
        <f>IF((SUMIF(E40:AF40,AH38,E43:AF43))&lt;0,-(SUMIF(E40:AF40,AH38,E43:AF43)),0)</f>
        <v>0</v>
      </c>
      <c r="AM42" s="500">
        <f>IF((SUMIF(E40:AF40,AH38,E43:AF43))&gt;0,(SUMIF(E40:AF40,AH38,E43:AF43)),0)</f>
        <v>37542.836040000002</v>
      </c>
    </row>
    <row r="43" spans="1:39">
      <c r="B43" s="481" t="s">
        <v>23</v>
      </c>
      <c r="C43" s="482">
        <f>SUM(U43:AF43)</f>
        <v>1189629.81828</v>
      </c>
      <c r="D43" s="494">
        <f>SUM(G43:R43)</f>
        <v>-672918.74727999989</v>
      </c>
      <c r="E43" s="482">
        <f>SUMPRODUCT(E19:E26,E31:E38)</f>
        <v>149144.67478</v>
      </c>
      <c r="F43" s="482">
        <f>SUMPRODUCT(F19:F26,F31:F38)</f>
        <v>450435.65911000001</v>
      </c>
      <c r="G43" s="482">
        <v>-82277.84</v>
      </c>
      <c r="H43" s="482">
        <v>-101930.34</v>
      </c>
      <c r="I43" s="482">
        <v>-108116.73896</v>
      </c>
      <c r="J43" s="482">
        <v>-106079.69250999999</v>
      </c>
      <c r="K43" s="482">
        <v>-77560.048470000009</v>
      </c>
      <c r="L43" s="482">
        <v>-48077.28282</v>
      </c>
      <c r="M43" s="482">
        <v>-28350.165369999999</v>
      </c>
      <c r="N43" s="482">
        <v>-22867.09346</v>
      </c>
      <c r="O43" s="482">
        <v>-18322.051239999997</v>
      </c>
      <c r="P43" s="482">
        <v>-18846.37455</v>
      </c>
      <c r="Q43" s="482">
        <v>-22900.190279999999</v>
      </c>
      <c r="R43" s="482">
        <v>-37590.929620000003</v>
      </c>
      <c r="S43" s="557">
        <v>257672.26615000004</v>
      </c>
      <c r="T43" s="557">
        <v>312766.45</v>
      </c>
      <c r="U43" s="482">
        <v>330465.11</v>
      </c>
      <c r="V43" s="482">
        <f>SUMPRODUCT(V19:V26,V31:V38)</f>
        <v>227866.64228000003</v>
      </c>
      <c r="W43" s="482">
        <f t="shared" ref="W43:X43" si="24">SUMPRODUCT(W19:W26,W31:W38)</f>
        <v>179566.91484000001</v>
      </c>
      <c r="X43" s="482">
        <f t="shared" si="24"/>
        <v>134158.99359999999</v>
      </c>
      <c r="Y43" s="482">
        <f>SUMPRODUCT(Y19:Y26,Y31:Y38)</f>
        <v>60124.201359999999</v>
      </c>
      <c r="Z43" s="482">
        <f t="shared" ref="Z43:AD43" si="25">SUMPRODUCT(Z19:Z26,Z31:Z38)</f>
        <v>37542.836040000002</v>
      </c>
      <c r="AA43" s="482">
        <f t="shared" si="25"/>
        <v>38936.174440000003</v>
      </c>
      <c r="AB43" s="482">
        <f t="shared" si="25"/>
        <v>35632.750439999996</v>
      </c>
      <c r="AC43" s="482">
        <f t="shared" si="25"/>
        <v>58512.29808</v>
      </c>
      <c r="AD43" s="482">
        <f t="shared" si="25"/>
        <v>86823.897200000007</v>
      </c>
      <c r="AE43" s="563"/>
      <c r="AF43" s="563"/>
      <c r="AH43" s="153" t="s">
        <v>156</v>
      </c>
      <c r="AI43" s="209">
        <f>AI41</f>
        <v>191000</v>
      </c>
      <c r="AJ43" s="209" t="str">
        <f t="shared" ref="AJ43:AK44" si="26">AJ41</f>
        <v>GD</v>
      </c>
      <c r="AK43" s="209" t="str">
        <f t="shared" si="26"/>
        <v>WA</v>
      </c>
      <c r="AL43" s="472">
        <v>0</v>
      </c>
      <c r="AM43" s="462">
        <v>0</v>
      </c>
    </row>
    <row r="44" spans="1:39" ht="16" thickBot="1">
      <c r="B44" s="481" t="s">
        <v>4</v>
      </c>
      <c r="C44" s="482">
        <f t="shared" ref="C44:C46" si="27">SUM(U44:AF44)</f>
        <v>-21619.608082249844</v>
      </c>
      <c r="D44" s="494">
        <f>SUM(G44:R44)</f>
        <v>36498.65781942301</v>
      </c>
      <c r="E44" s="482">
        <f>(E42*(E41/12))+((E43/2)*(E41/12))</f>
        <v>-325.7635715368333</v>
      </c>
      <c r="F44" s="482">
        <f>(F42*(F41/12))+((F43/2)*(F41/12))</f>
        <v>485.28585426629616</v>
      </c>
      <c r="G44" s="482">
        <f>((G42+G45)*(G41/12))+(((G43+G46)/2)*(G41/12))</f>
        <v>4107.1195298889406</v>
      </c>
      <c r="H44" s="489">
        <f>(H42*(H41/12))+((H43/2)*(H41/12))</f>
        <v>3887.5536452823899</v>
      </c>
      <c r="I44" s="489">
        <v>3613.643683646696</v>
      </c>
      <c r="J44" s="489">
        <v>3258.2343760076146</v>
      </c>
      <c r="K44" s="489">
        <v>3018.3799448655523</v>
      </c>
      <c r="L44" s="489">
        <v>2856.4208377610212</v>
      </c>
      <c r="M44" s="489">
        <v>2760.6614747726658</v>
      </c>
      <c r="N44" s="489">
        <v>2698.7815616012172</v>
      </c>
      <c r="O44" s="489">
        <v>2650.3137948826366</v>
      </c>
      <c r="P44" s="489">
        <v>2607.1594848198192</v>
      </c>
      <c r="Q44" s="489">
        <v>2557.688735217248</v>
      </c>
      <c r="R44" s="489">
        <v>2482.7007506772115</v>
      </c>
      <c r="S44" s="559">
        <v>-5609.7233374053303</v>
      </c>
      <c r="T44" s="560">
        <v>-4753.3635995743443</v>
      </c>
      <c r="U44" s="489">
        <v>-3697.0272676565255</v>
      </c>
      <c r="V44" s="489">
        <f t="shared" ref="V44:AD44" si="28">((V42*(V41/12))+((V43/2)*(V41/12)))</f>
        <v>-2950.9658019605959</v>
      </c>
      <c r="W44" s="489">
        <f>((W42*(W41/12))+((W43/2)*(W41/12)))</f>
        <v>-2407.2250590742387</v>
      </c>
      <c r="X44" s="489">
        <f t="shared" si="28"/>
        <v>-1988.9074592633983</v>
      </c>
      <c r="Y44" s="489">
        <f t="shared" si="28"/>
        <v>-1731.2022571239027</v>
      </c>
      <c r="Z44" s="489">
        <f t="shared" si="28"/>
        <v>-1603.6334834244467</v>
      </c>
      <c r="AA44" s="489">
        <f t="shared" si="28"/>
        <v>-1504.4113307503878</v>
      </c>
      <c r="AB44" s="489">
        <f t="shared" si="28"/>
        <v>-1407.5070256628373</v>
      </c>
      <c r="AC44" s="489">
        <f t="shared" si="28"/>
        <v>-1283.8309373198406</v>
      </c>
      <c r="AD44" s="489">
        <f t="shared" si="28"/>
        <v>-1090.4985483334153</v>
      </c>
      <c r="AE44" s="560">
        <f>((AE42+AE45)*(AE41/12))+(((AE43+AE46)/2)*(AE41/12))</f>
        <v>-975.87795444348501</v>
      </c>
      <c r="AF44" s="560">
        <f>((AF42+AF45)*(AF41/12))+(((AF43+AF46)/2)*(AF41/12))</f>
        <v>-978.5209572367695</v>
      </c>
      <c r="AH44" s="154" t="str">
        <f>AH43</f>
        <v>Large Customer Refund</v>
      </c>
      <c r="AI44" s="561">
        <f>AI42</f>
        <v>805110</v>
      </c>
      <c r="AJ44" s="561" t="str">
        <f t="shared" si="26"/>
        <v>GD</v>
      </c>
      <c r="AK44" s="561" t="str">
        <f t="shared" si="26"/>
        <v>WA</v>
      </c>
      <c r="AL44" s="464">
        <f>AM43</f>
        <v>0</v>
      </c>
      <c r="AM44" s="473">
        <f>AL43</f>
        <v>0</v>
      </c>
    </row>
    <row r="45" spans="1:39" ht="16" thickBot="1">
      <c r="B45" s="481" t="s">
        <v>259</v>
      </c>
      <c r="C45" s="482">
        <f t="shared" si="27"/>
        <v>0</v>
      </c>
      <c r="E45" s="482">
        <v>0</v>
      </c>
      <c r="F45" s="482">
        <v>0</v>
      </c>
      <c r="G45" s="482">
        <v>1145801.7486667871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-3063910.6100000003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63">
        <f>-AE11-AE10-AE9</f>
        <v>0</v>
      </c>
      <c r="AF45" s="563">
        <v>0</v>
      </c>
      <c r="AH45" s="516"/>
      <c r="AI45" s="530"/>
      <c r="AJ45" s="517"/>
      <c r="AK45" s="517"/>
      <c r="AL45" s="517" t="s">
        <v>159</v>
      </c>
      <c r="AM45" s="518">
        <f>SUM(AL39:AL44)-SUM(AM39:AM44)</f>
        <v>0</v>
      </c>
    </row>
    <row r="46" spans="1:39">
      <c r="B46" s="481" t="s">
        <v>148</v>
      </c>
      <c r="C46" s="482">
        <f t="shared" si="27"/>
        <v>0</v>
      </c>
      <c r="E46" s="482">
        <v>0</v>
      </c>
      <c r="F46" s="482">
        <v>0</v>
      </c>
      <c r="G46" s="482">
        <v>13852.98</v>
      </c>
      <c r="H46" s="482">
        <v>0</v>
      </c>
      <c r="I46" s="538">
        <v>-27743.479999999981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-73169.460000000006</v>
      </c>
      <c r="T46" s="557">
        <v>146338.92000000001</v>
      </c>
      <c r="U46" s="563">
        <v>0</v>
      </c>
      <c r="V46" s="482">
        <v>0</v>
      </c>
      <c r="W46" s="482">
        <v>0</v>
      </c>
      <c r="X46" s="482">
        <v>0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63"/>
      <c r="AF46" s="563">
        <f>-AE46*2</f>
        <v>0</v>
      </c>
    </row>
    <row r="47" spans="1:39" ht="16" thickBot="1">
      <c r="B47" s="481" t="s">
        <v>56</v>
      </c>
      <c r="C47" s="541">
        <f>SUM(C43:C46)</f>
        <v>1168010.2101977502</v>
      </c>
      <c r="D47" s="541"/>
      <c r="E47" s="541">
        <f>SUM(E42:E46)</f>
        <v>-46035.360287444513</v>
      </c>
      <c r="F47" s="541">
        <f t="shared" ref="F47:H47" si="29">SUM(F42:F46)</f>
        <v>404885.58467682183</v>
      </c>
      <c r="G47" s="541">
        <f t="shared" si="29"/>
        <v>1486369.5928734979</v>
      </c>
      <c r="H47" s="541">
        <f t="shared" si="29"/>
        <v>1388326.8065187801</v>
      </c>
      <c r="I47" s="541">
        <v>1256080.2312424269</v>
      </c>
      <c r="J47" s="541">
        <v>1153258.7731084346</v>
      </c>
      <c r="K47" s="541">
        <v>1078717.1045833002</v>
      </c>
      <c r="L47" s="541">
        <v>1033496.2426010612</v>
      </c>
      <c r="M47" s="541">
        <v>1007906.7387058339</v>
      </c>
      <c r="N47" s="541">
        <v>987738.42680743511</v>
      </c>
      <c r="O47" s="541">
        <v>972066.68936231779</v>
      </c>
      <c r="P47" s="541">
        <v>955827.4742971377</v>
      </c>
      <c r="Q47" s="541">
        <v>935484.97275235492</v>
      </c>
      <c r="R47" s="541">
        <v>900376.74388303224</v>
      </c>
      <c r="S47" s="541">
        <v>-1984640.7833043733</v>
      </c>
      <c r="T47" s="541">
        <v>-1530288.7769039478</v>
      </c>
      <c r="U47" s="541">
        <v>-1203520.6941716045</v>
      </c>
      <c r="V47" s="541">
        <f t="shared" ref="V47:AF47" si="30">SUM(V42:V46)</f>
        <v>-978605.01769356499</v>
      </c>
      <c r="W47" s="541">
        <f t="shared" si="30"/>
        <v>-801445.32791263924</v>
      </c>
      <c r="X47" s="541">
        <f t="shared" si="30"/>
        <v>-669275.24177190254</v>
      </c>
      <c r="Y47" s="541">
        <f t="shared" si="30"/>
        <v>-610882.24266902648</v>
      </c>
      <c r="Z47" s="541">
        <f t="shared" si="30"/>
        <v>-574943.04011245095</v>
      </c>
      <c r="AA47" s="541">
        <f t="shared" si="30"/>
        <v>-537511.27700320142</v>
      </c>
      <c r="AB47" s="541">
        <f t="shared" si="30"/>
        <v>-503286.03358886426</v>
      </c>
      <c r="AC47" s="541">
        <f t="shared" si="30"/>
        <v>-446057.56644618412</v>
      </c>
      <c r="AD47" s="541">
        <f t="shared" si="30"/>
        <v>-360324.16779451753</v>
      </c>
      <c r="AE47" s="541">
        <f t="shared" si="30"/>
        <v>-361300.04574896104</v>
      </c>
      <c r="AF47" s="541">
        <f t="shared" si="30"/>
        <v>-362278.5667061978</v>
      </c>
    </row>
    <row r="48" spans="1:39" ht="16" thickTop="1">
      <c r="B48" s="481" t="s">
        <v>260</v>
      </c>
      <c r="E48" s="482" t="e">
        <f ca="1">_xll.Get_Balance(E40,"YTD","USD","Total","A","","001",$A$40,"GD","WA","DL")</f>
        <v>#NAME?</v>
      </c>
      <c r="F48" s="482" t="e">
        <f ca="1">_xll.Get_Balance(F40,"YTD","USD","Total","A","","001",$A$40,"GD","WA","DL")</f>
        <v>#NAME?</v>
      </c>
      <c r="G48" s="482" t="e">
        <f ca="1">_xll.Get_Balance(G40,"YTD","USD","Total","A","","001",$A$40,"GD","WA","DL")</f>
        <v>#NAME?</v>
      </c>
      <c r="H48" s="482" t="e">
        <f ca="1">_xll.Get_Balance(H40,"YTD","USD","Total","A","","001",$A$40,"GD","WA","DL")</f>
        <v>#NAME?</v>
      </c>
      <c r="I48" s="482">
        <v>1256080.45</v>
      </c>
      <c r="J48" s="482">
        <v>1153258.99</v>
      </c>
      <c r="K48" s="482">
        <v>1078717.32</v>
      </c>
      <c r="L48" s="482">
        <v>1033496.46</v>
      </c>
      <c r="M48" s="482">
        <v>1007906.96</v>
      </c>
      <c r="N48" s="482">
        <v>987738.65</v>
      </c>
      <c r="O48" s="482">
        <v>972066.91</v>
      </c>
      <c r="P48" s="482">
        <v>955827.69</v>
      </c>
      <c r="Q48" s="482">
        <v>935485.19</v>
      </c>
      <c r="R48" s="482">
        <v>900376.96</v>
      </c>
      <c r="S48" s="482">
        <v>-1984640.57</v>
      </c>
      <c r="T48" s="482">
        <v>-1530288.56</v>
      </c>
      <c r="U48" s="482">
        <v>-1203520.48</v>
      </c>
      <c r="V48" s="482" t="e">
        <f ca="1">_xll.Get_Balance(V40,"YTD","USD","Total","A","","001",$A$40,"GD","WA","DL")</f>
        <v>#NAME?</v>
      </c>
      <c r="W48" s="482" t="e">
        <f ca="1">_xll.Get_Balance(W40,"YTD","USD","Total","A","","001",$A$40,"GD","WA","DL")</f>
        <v>#NAME?</v>
      </c>
      <c r="X48" s="482" t="e">
        <f ca="1">_xll.Get_Balance(X40,"YTD","USD","Total","A","","001",$A$40,"GD","WA","DL")</f>
        <v>#NAME?</v>
      </c>
      <c r="Y48" s="482" t="e">
        <f ca="1">_xll.Get_Balance(Y40,"YTD","USD","Total","A","","001",$A$40,"GD","WA","DL")</f>
        <v>#NAME?</v>
      </c>
      <c r="Z48" s="482" t="e">
        <f ca="1">_xll.Get_Balance(Z40,"YTD","USD","Total","A","","001",$A$40,"GD","WA","DL")</f>
        <v>#NAME?</v>
      </c>
      <c r="AA48" s="482" t="e">
        <f ca="1">_xll.Get_Balance(AA40,"YTD","USD","Total","A","","001",$A$40,"GD","WA","DL")</f>
        <v>#NAME?</v>
      </c>
      <c r="AB48" s="482" t="e">
        <f ca="1">_xll.Get_Balance(AB40,"YTD","USD","Total","A","","001",$A$40,"GD","WA","DL")</f>
        <v>#NAME?</v>
      </c>
      <c r="AC48" s="482" t="e">
        <f ca="1">_xll.Get_Balance(AC40,"YTD","USD","Total","A","","001",$A$40,"GD","WA","DL")</f>
        <v>#NAME?</v>
      </c>
      <c r="AD48" s="482" t="e">
        <f ca="1">_xll.Get_Balance(AD40,"YTD","USD","Total","A","","001",$A$40,"GD","WA","DL")</f>
        <v>#NAME?</v>
      </c>
      <c r="AE48" s="482" t="e">
        <f ca="1">_xll.Get_Balance(AE40,"YTD","USD","Total","A","","001",$A$40,"GD","WA","DL")</f>
        <v>#NAME?</v>
      </c>
      <c r="AF48" s="482" t="e">
        <f ca="1">_xll.Get_Balance(AF40,"YTD","USD","Total","A","","001",$A$40,"GD","WA","DL")</f>
        <v>#NAME?</v>
      </c>
      <c r="AL48" s="563"/>
    </row>
    <row r="49" spans="1:38">
      <c r="B49" s="481" t="s">
        <v>245</v>
      </c>
      <c r="E49" s="482" t="e">
        <f t="shared" ref="E49:H49" ca="1" si="31">E47-E48</f>
        <v>#NAME?</v>
      </c>
      <c r="F49" s="482" t="e">
        <f t="shared" ca="1" si="31"/>
        <v>#NAME?</v>
      </c>
      <c r="G49" s="482" t="e">
        <f t="shared" ca="1" si="31"/>
        <v>#NAME?</v>
      </c>
      <c r="H49" s="482" t="e">
        <f t="shared" ca="1" si="31"/>
        <v>#NAME?</v>
      </c>
      <c r="I49" s="482">
        <v>-0.21875757304951549</v>
      </c>
      <c r="J49" s="482">
        <v>-0.21689156536012888</v>
      </c>
      <c r="K49" s="482">
        <v>-0.21541669988073409</v>
      </c>
      <c r="L49" s="482">
        <v>-0.2173989387229085</v>
      </c>
      <c r="M49" s="482">
        <v>-0.22129416605457664</v>
      </c>
      <c r="N49" s="482">
        <v>-0.22319256491027772</v>
      </c>
      <c r="O49" s="482">
        <v>-0.22063768224325031</v>
      </c>
      <c r="P49" s="482">
        <v>-0.21570286224596202</v>
      </c>
      <c r="Q49" s="482">
        <v>-0.21724764502141625</v>
      </c>
      <c r="R49" s="482">
        <v>-0.21611696772743016</v>
      </c>
      <c r="S49" s="482">
        <v>-0.21330437320284545</v>
      </c>
      <c r="T49" s="482">
        <v>-0.21690394775941968</v>
      </c>
      <c r="U49" s="482">
        <v>-0.21417160448618233</v>
      </c>
      <c r="V49" s="482" t="e">
        <f t="shared" ref="V49:AF49" ca="1" si="32">V47-V48</f>
        <v>#NAME?</v>
      </c>
      <c r="W49" s="482" t="e">
        <f t="shared" ca="1" si="32"/>
        <v>#NAME?</v>
      </c>
      <c r="X49" s="482" t="e">
        <f t="shared" ca="1" si="32"/>
        <v>#NAME?</v>
      </c>
      <c r="Y49" s="482" t="e">
        <f t="shared" ca="1" si="32"/>
        <v>#NAME?</v>
      </c>
      <c r="Z49" s="482" t="e">
        <f t="shared" ca="1" si="32"/>
        <v>#NAME?</v>
      </c>
      <c r="AA49" s="482" t="e">
        <f t="shared" ca="1" si="32"/>
        <v>#NAME?</v>
      </c>
      <c r="AB49" s="482" t="e">
        <f t="shared" ca="1" si="32"/>
        <v>#NAME?</v>
      </c>
      <c r="AC49" s="482" t="e">
        <f t="shared" ca="1" si="32"/>
        <v>#NAME?</v>
      </c>
      <c r="AD49" s="482" t="e">
        <f t="shared" ca="1" si="32"/>
        <v>#NAME?</v>
      </c>
      <c r="AE49" s="482" t="e">
        <f t="shared" ca="1" si="32"/>
        <v>#NAME?</v>
      </c>
      <c r="AF49" s="482" t="e">
        <f t="shared" ca="1" si="32"/>
        <v>#NAME?</v>
      </c>
    </row>
    <row r="51" spans="1:38">
      <c r="A51" s="483" t="s">
        <v>292</v>
      </c>
      <c r="E51" s="535"/>
      <c r="F51" s="535"/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5"/>
      <c r="S51" s="535"/>
      <c r="T51" s="535"/>
      <c r="U51" s="535"/>
      <c r="V51" s="535"/>
      <c r="W51" s="535"/>
      <c r="X51" s="535"/>
      <c r="Y51" s="535"/>
      <c r="Z51" s="535"/>
      <c r="AA51" s="535"/>
      <c r="AB51" s="535"/>
      <c r="AC51" s="535"/>
      <c r="AD51" s="535"/>
      <c r="AE51" s="535"/>
      <c r="AF51" s="535"/>
    </row>
    <row r="52" spans="1:38">
      <c r="A52" s="484">
        <v>191025</v>
      </c>
      <c r="B52" s="485" t="s">
        <v>256</v>
      </c>
      <c r="C52" s="486" t="s">
        <v>251</v>
      </c>
      <c r="D52" s="486" t="s">
        <v>252</v>
      </c>
      <c r="E52" s="484">
        <v>201309</v>
      </c>
      <c r="F52" s="484">
        <f>E52+1</f>
        <v>201310</v>
      </c>
      <c r="G52" s="484">
        <f>F52+1</f>
        <v>201311</v>
      </c>
      <c r="H52" s="484">
        <f>G52+1</f>
        <v>201312</v>
      </c>
      <c r="I52" s="484">
        <v>201401</v>
      </c>
      <c r="J52" s="484">
        <v>201402</v>
      </c>
      <c r="K52" s="484">
        <v>201403</v>
      </c>
      <c r="L52" s="484">
        <v>201404</v>
      </c>
      <c r="M52" s="484">
        <v>201405</v>
      </c>
      <c r="N52" s="484">
        <v>201406</v>
      </c>
      <c r="O52" s="484">
        <v>201407</v>
      </c>
      <c r="P52" s="484">
        <v>201408</v>
      </c>
      <c r="Q52" s="484">
        <v>201409</v>
      </c>
      <c r="R52" s="484">
        <v>201410</v>
      </c>
      <c r="S52" s="484">
        <v>201411</v>
      </c>
      <c r="T52" s="484">
        <v>201412</v>
      </c>
      <c r="U52" s="484">
        <v>201501</v>
      </c>
      <c r="V52" s="484">
        <f t="shared" ref="V52:AD52" si="33">U52+1</f>
        <v>201502</v>
      </c>
      <c r="W52" s="484">
        <f t="shared" si="33"/>
        <v>201503</v>
      </c>
      <c r="X52" s="484">
        <f t="shared" si="33"/>
        <v>201504</v>
      </c>
      <c r="Y52" s="484">
        <f t="shared" si="33"/>
        <v>201505</v>
      </c>
      <c r="Z52" s="484">
        <f t="shared" si="33"/>
        <v>201506</v>
      </c>
      <c r="AA52" s="484">
        <f t="shared" si="33"/>
        <v>201507</v>
      </c>
      <c r="AB52" s="484">
        <f t="shared" si="33"/>
        <v>201508</v>
      </c>
      <c r="AC52" s="484">
        <f t="shared" si="33"/>
        <v>201509</v>
      </c>
      <c r="AD52" s="484">
        <f t="shared" si="33"/>
        <v>201510</v>
      </c>
      <c r="AE52" s="484">
        <f>AD52+1</f>
        <v>201511</v>
      </c>
      <c r="AF52" s="484">
        <f t="shared" ref="AF52" si="34">AE52+1</f>
        <v>201512</v>
      </c>
      <c r="AL52" s="563"/>
    </row>
    <row r="53" spans="1:38">
      <c r="A53" s="483"/>
      <c r="B53" s="481" t="s">
        <v>37</v>
      </c>
      <c r="C53" s="491">
        <f>SUM(U53:AF53)</f>
        <v>83964548</v>
      </c>
      <c r="D53" s="491">
        <f t="shared" ref="D53:D62" si="35">SUM(G53:R53)</f>
        <v>118507804</v>
      </c>
      <c r="E53" s="491">
        <v>2647538</v>
      </c>
      <c r="F53" s="491">
        <v>9244353</v>
      </c>
      <c r="G53" s="491">
        <v>15070678</v>
      </c>
      <c r="H53" s="491">
        <v>22636008</v>
      </c>
      <c r="I53" s="543">
        <v>20682450</v>
      </c>
      <c r="J53" s="543">
        <v>20184373</v>
      </c>
      <c r="K53" s="543">
        <v>14096743</v>
      </c>
      <c r="L53" s="543">
        <v>7776328</v>
      </c>
      <c r="M53" s="543">
        <v>3691303</v>
      </c>
      <c r="N53" s="543">
        <v>2545780</v>
      </c>
      <c r="O53" s="543">
        <v>2095088</v>
      </c>
      <c r="P53" s="543">
        <v>2047777</v>
      </c>
      <c r="Q53" s="543">
        <v>2727612</v>
      </c>
      <c r="R53" s="543">
        <v>4953664</v>
      </c>
      <c r="S53" s="543">
        <v>15823016</v>
      </c>
      <c r="T53" s="543">
        <v>19056609</v>
      </c>
      <c r="U53" s="543">
        <v>19909674</v>
      </c>
      <c r="V53" s="543">
        <f>Feb!$G23</f>
        <v>13011547</v>
      </c>
      <c r="W53" s="543">
        <f>Mar!$G23</f>
        <v>10479005</v>
      </c>
      <c r="X53" s="543">
        <f>Apr!$G23</f>
        <v>7714478</v>
      </c>
      <c r="Y53" s="543">
        <f>May!$G23</f>
        <v>3297360</v>
      </c>
      <c r="Z53" s="543">
        <f>Jun!$G23</f>
        <v>1968489</v>
      </c>
      <c r="AA53" s="543">
        <f>Jul!$G23</f>
        <v>2145139</v>
      </c>
      <c r="AB53" s="543">
        <f>Aug!$G23</f>
        <v>1956853</v>
      </c>
      <c r="AC53" s="543">
        <f>Sep!$G23</f>
        <v>3273457</v>
      </c>
      <c r="AD53" s="543">
        <f>Oct!$G23</f>
        <v>4833518</v>
      </c>
      <c r="AE53" s="543">
        <f>Nov!$G23</f>
        <v>15375028</v>
      </c>
      <c r="AF53" s="543">
        <f>Dec!$G23</f>
        <v>0</v>
      </c>
    </row>
    <row r="54" spans="1:38">
      <c r="A54" s="483"/>
      <c r="B54" s="481" t="s">
        <v>38</v>
      </c>
      <c r="C54" s="491">
        <f t="shared" ref="C54:C61" si="36">SUM(U54:AF54)</f>
        <v>35336899</v>
      </c>
      <c r="D54" s="491">
        <f t="shared" si="35"/>
        <v>47081391</v>
      </c>
      <c r="E54" s="491">
        <v>1599551</v>
      </c>
      <c r="F54" s="491">
        <v>3880001</v>
      </c>
      <c r="G54" s="491">
        <v>5651303</v>
      </c>
      <c r="H54" s="491">
        <v>7518125</v>
      </c>
      <c r="I54" s="543">
        <v>7025543</v>
      </c>
      <c r="J54" s="543">
        <v>6903553</v>
      </c>
      <c r="K54" s="543">
        <v>5310734</v>
      </c>
      <c r="L54" s="543">
        <v>3390429</v>
      </c>
      <c r="M54" s="543">
        <v>2183609</v>
      </c>
      <c r="N54" s="543">
        <v>1741655</v>
      </c>
      <c r="O54" s="543">
        <v>1476567</v>
      </c>
      <c r="P54" s="543">
        <v>1364087</v>
      </c>
      <c r="Q54" s="543">
        <v>1739755</v>
      </c>
      <c r="R54" s="543">
        <v>2776031</v>
      </c>
      <c r="S54" s="543">
        <v>6141604</v>
      </c>
      <c r="T54" s="543">
        <v>6045485</v>
      </c>
      <c r="U54" s="543">
        <v>6173752</v>
      </c>
      <c r="V54" s="543">
        <f>Feb!$G24</f>
        <v>5630395</v>
      </c>
      <c r="W54" s="543">
        <f>Mar!$G24</f>
        <v>4030672</v>
      </c>
      <c r="X54" s="543">
        <f>Apr!$G24</f>
        <v>3448422</v>
      </c>
      <c r="Y54" s="543">
        <f>May!$G24</f>
        <v>1901440</v>
      </c>
      <c r="Z54" s="543">
        <f>Jun!$G24</f>
        <v>1561904</v>
      </c>
      <c r="AA54" s="543">
        <f>Jul!$G24</f>
        <v>1323231</v>
      </c>
      <c r="AB54" s="543">
        <f>Aug!$G24</f>
        <v>1284422</v>
      </c>
      <c r="AC54" s="543">
        <f>Sep!$G24</f>
        <v>1854848</v>
      </c>
      <c r="AD54" s="543">
        <f>Oct!$G25</f>
        <v>2624293</v>
      </c>
      <c r="AE54" s="543">
        <f>Nov!$G25</f>
        <v>5503520</v>
      </c>
      <c r="AF54" s="543">
        <f>Dec!$G24</f>
        <v>0</v>
      </c>
    </row>
    <row r="55" spans="1:38">
      <c r="A55" s="483"/>
      <c r="B55" s="481" t="s">
        <v>39</v>
      </c>
      <c r="C55" s="491">
        <f t="shared" si="36"/>
        <v>0</v>
      </c>
      <c r="D55" s="491">
        <f t="shared" si="35"/>
        <v>0</v>
      </c>
      <c r="E55" s="491">
        <v>0</v>
      </c>
      <c r="F55" s="491">
        <v>0</v>
      </c>
      <c r="G55" s="491">
        <v>0</v>
      </c>
      <c r="H55" s="491">
        <v>0</v>
      </c>
      <c r="I55" s="543">
        <v>0</v>
      </c>
      <c r="J55" s="543">
        <v>0</v>
      </c>
      <c r="K55" s="543">
        <v>0</v>
      </c>
      <c r="L55" s="543">
        <v>0</v>
      </c>
      <c r="M55" s="543">
        <v>0</v>
      </c>
      <c r="N55" s="543">
        <v>0</v>
      </c>
      <c r="O55" s="543">
        <v>0</v>
      </c>
      <c r="P55" s="543">
        <v>0</v>
      </c>
      <c r="Q55" s="543">
        <v>0</v>
      </c>
      <c r="R55" s="543">
        <v>0</v>
      </c>
      <c r="S55" s="543">
        <v>0</v>
      </c>
      <c r="T55" s="543">
        <v>0</v>
      </c>
      <c r="U55" s="543">
        <v>0</v>
      </c>
      <c r="V55" s="543">
        <f>Feb!$G25</f>
        <v>0</v>
      </c>
      <c r="W55" s="543">
        <f>Mar!$G25</f>
        <v>0</v>
      </c>
      <c r="X55" s="543">
        <f>Apr!$G25</f>
        <v>0</v>
      </c>
      <c r="Y55" s="543">
        <f>May!$G25</f>
        <v>0</v>
      </c>
      <c r="Z55" s="543">
        <f>Jun!$G25</f>
        <v>0</v>
      </c>
      <c r="AA55" s="543">
        <f>Jul!$G25</f>
        <v>0</v>
      </c>
      <c r="AB55" s="543">
        <f>Aug!$G25</f>
        <v>0</v>
      </c>
      <c r="AC55" s="543">
        <f>Sep!$G25</f>
        <v>0</v>
      </c>
      <c r="AD55" s="543">
        <f>Oct!$G26</f>
        <v>0</v>
      </c>
      <c r="AE55" s="543">
        <f>Nov!$G26</f>
        <v>0</v>
      </c>
      <c r="AF55" s="543">
        <f>Dec!$G25</f>
        <v>0</v>
      </c>
    </row>
    <row r="56" spans="1:38">
      <c r="A56" s="483"/>
      <c r="B56" s="481" t="s">
        <v>40</v>
      </c>
      <c r="C56" s="491">
        <f t="shared" si="36"/>
        <v>4051936</v>
      </c>
      <c r="D56" s="491">
        <f t="shared" si="35"/>
        <v>4993299</v>
      </c>
      <c r="E56" s="491">
        <v>344046</v>
      </c>
      <c r="F56" s="491">
        <v>595792</v>
      </c>
      <c r="G56" s="491">
        <v>396185</v>
      </c>
      <c r="H56" s="491">
        <v>588721</v>
      </c>
      <c r="I56" s="543">
        <v>534459</v>
      </c>
      <c r="J56" s="543">
        <v>540817</v>
      </c>
      <c r="K56" s="543">
        <v>425342</v>
      </c>
      <c r="L56" s="543">
        <v>407197</v>
      </c>
      <c r="M56" s="543">
        <v>340947</v>
      </c>
      <c r="N56" s="543">
        <v>361843</v>
      </c>
      <c r="O56" s="543">
        <v>251184</v>
      </c>
      <c r="P56" s="543">
        <v>332621</v>
      </c>
      <c r="Q56" s="543">
        <v>330926</v>
      </c>
      <c r="R56" s="543">
        <v>483057</v>
      </c>
      <c r="S56" s="543">
        <v>518418</v>
      </c>
      <c r="T56" s="543">
        <v>377457</v>
      </c>
      <c r="U56" s="543">
        <v>513680</v>
      </c>
      <c r="V56" s="543">
        <f>Feb!$G26</f>
        <v>431734</v>
      </c>
      <c r="W56" s="543">
        <f>Mar!$G26</f>
        <v>335852</v>
      </c>
      <c r="X56" s="543">
        <f>Apr!$G26</f>
        <v>432834</v>
      </c>
      <c r="Y56" s="543">
        <f>May!$G26</f>
        <v>249954</v>
      </c>
      <c r="Z56" s="543">
        <f>Jun!$G26</f>
        <v>322862</v>
      </c>
      <c r="AA56" s="543">
        <f>Jul!$G26</f>
        <v>247078</v>
      </c>
      <c r="AB56" s="543">
        <f>Aug!$G26</f>
        <v>274690</v>
      </c>
      <c r="AC56" s="543">
        <f>Sep!$G26</f>
        <v>336073</v>
      </c>
      <c r="AD56" s="543">
        <f>Oct!$G27</f>
        <v>365802</v>
      </c>
      <c r="AE56" s="543">
        <f>Nov!$G27</f>
        <v>541377</v>
      </c>
      <c r="AF56" s="543">
        <f>Dec!$G26</f>
        <v>0</v>
      </c>
    </row>
    <row r="57" spans="1:38">
      <c r="A57" s="483"/>
      <c r="B57" s="481" t="s">
        <v>41</v>
      </c>
      <c r="C57" s="491">
        <f t="shared" si="36"/>
        <v>504443</v>
      </c>
      <c r="D57" s="491">
        <f t="shared" si="35"/>
        <v>658607</v>
      </c>
      <c r="E57" s="491">
        <v>31388</v>
      </c>
      <c r="F57" s="491">
        <v>40500</v>
      </c>
      <c r="G57" s="491">
        <v>51667</v>
      </c>
      <c r="H57" s="491">
        <v>84319</v>
      </c>
      <c r="I57" s="543">
        <v>95515</v>
      </c>
      <c r="J57" s="543">
        <v>89875</v>
      </c>
      <c r="K57" s="543">
        <v>79687</v>
      </c>
      <c r="L57" s="543">
        <v>48237</v>
      </c>
      <c r="M57" s="543">
        <v>57496</v>
      </c>
      <c r="N57" s="543">
        <v>29984</v>
      </c>
      <c r="O57" s="543">
        <v>36453</v>
      </c>
      <c r="P57" s="543">
        <v>23994</v>
      </c>
      <c r="Q57" s="543">
        <v>27780</v>
      </c>
      <c r="R57" s="543">
        <v>33600</v>
      </c>
      <c r="S57" s="543">
        <v>46503</v>
      </c>
      <c r="T57" s="543">
        <v>74423</v>
      </c>
      <c r="U57" s="543">
        <v>81674</v>
      </c>
      <c r="V57" s="543">
        <f>Feb!$G27</f>
        <v>68846</v>
      </c>
      <c r="W57" s="543">
        <f>Mar!$G27</f>
        <v>57610</v>
      </c>
      <c r="X57" s="543">
        <f>Apr!$G27</f>
        <v>49631</v>
      </c>
      <c r="Y57" s="543">
        <f>May!$G27</f>
        <v>46984</v>
      </c>
      <c r="Z57" s="543">
        <f>Jun!$G27</f>
        <v>30135</v>
      </c>
      <c r="AA57" s="543">
        <f>Jul!$G27</f>
        <v>28317</v>
      </c>
      <c r="AB57" s="543">
        <f>Aug!$G27</f>
        <v>27313</v>
      </c>
      <c r="AC57" s="543">
        <f>Sep!$G27</f>
        <v>29790</v>
      </c>
      <c r="AD57" s="543">
        <f>Oct!$G28</f>
        <v>36487</v>
      </c>
      <c r="AE57" s="543">
        <f>Nov!$G28</f>
        <v>47656</v>
      </c>
      <c r="AF57" s="543">
        <f>Dec!$G27</f>
        <v>0</v>
      </c>
    </row>
    <row r="58" spans="1:38">
      <c r="A58" s="483"/>
      <c r="B58" s="481" t="s">
        <v>42</v>
      </c>
      <c r="C58" s="491">
        <f t="shared" si="36"/>
        <v>0</v>
      </c>
      <c r="D58" s="491">
        <f t="shared" si="35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f>Feb!$G28</f>
        <v>0</v>
      </c>
      <c r="W58" s="543">
        <f>Mar!$G28</f>
        <v>0</v>
      </c>
      <c r="X58" s="543">
        <f>Apr!$G28</f>
        <v>0</v>
      </c>
      <c r="Y58" s="543">
        <f>May!$G28</f>
        <v>0</v>
      </c>
      <c r="Z58" s="543">
        <f>Jun!$G28</f>
        <v>0</v>
      </c>
      <c r="AA58" s="543">
        <f>Jul!$G28</f>
        <v>0</v>
      </c>
      <c r="AB58" s="543">
        <f>Aug!$G28</f>
        <v>0</v>
      </c>
      <c r="AC58" s="543">
        <f>Sep!$G28</f>
        <v>0</v>
      </c>
      <c r="AD58" s="543">
        <f>Oct!$G29</f>
        <v>0</v>
      </c>
      <c r="AE58" s="543">
        <f>Nov!$G29</f>
        <v>0</v>
      </c>
      <c r="AF58" s="543">
        <f>Dec!$G28</f>
        <v>0</v>
      </c>
    </row>
    <row r="59" spans="1:38">
      <c r="A59" s="483"/>
      <c r="B59" s="481" t="s">
        <v>43</v>
      </c>
      <c r="C59" s="491">
        <f t="shared" si="36"/>
        <v>871865</v>
      </c>
      <c r="D59" s="491">
        <f t="shared" si="35"/>
        <v>1097701</v>
      </c>
      <c r="E59" s="491">
        <v>54453</v>
      </c>
      <c r="F59" s="491">
        <v>68629</v>
      </c>
      <c r="G59" s="491">
        <v>142001</v>
      </c>
      <c r="H59" s="491">
        <v>132732</v>
      </c>
      <c r="I59" s="543">
        <v>149468</v>
      </c>
      <c r="J59" s="543">
        <v>140495</v>
      </c>
      <c r="K59" s="543">
        <v>132979</v>
      </c>
      <c r="L59" s="543">
        <v>91026</v>
      </c>
      <c r="M59" s="543">
        <v>83802</v>
      </c>
      <c r="N59" s="543">
        <v>58384</v>
      </c>
      <c r="O59" s="543">
        <v>45870</v>
      </c>
      <c r="P59" s="543">
        <v>32437</v>
      </c>
      <c r="Q59" s="543">
        <v>37881</v>
      </c>
      <c r="R59" s="543">
        <v>50626</v>
      </c>
      <c r="S59" s="543">
        <v>67642</v>
      </c>
      <c r="T59" s="543">
        <v>112489</v>
      </c>
      <c r="U59" s="543">
        <v>129251</v>
      </c>
      <c r="V59" s="543">
        <f>Feb!$G29</f>
        <v>123377</v>
      </c>
      <c r="W59" s="543">
        <f>Mar!$G29</f>
        <v>100117</v>
      </c>
      <c r="X59" s="543">
        <f>Apr!$G29</f>
        <v>81076</v>
      </c>
      <c r="Y59" s="543">
        <f>May!$G29</f>
        <v>83536</v>
      </c>
      <c r="Z59" s="543">
        <f>Jun!$G29</f>
        <v>56511</v>
      </c>
      <c r="AA59" s="543">
        <f>Jul!$G29</f>
        <v>13364</v>
      </c>
      <c r="AB59" s="543">
        <f>Aug!$G29</f>
        <v>68158</v>
      </c>
      <c r="AC59" s="543">
        <f>Sep!$G29</f>
        <v>45470</v>
      </c>
      <c r="AD59" s="543">
        <f>Oct!$G30</f>
        <v>96224</v>
      </c>
      <c r="AE59" s="543">
        <f>Nov!$G30</f>
        <v>74781</v>
      </c>
      <c r="AF59" s="543">
        <f>Dec!$G29</f>
        <v>0</v>
      </c>
    </row>
    <row r="60" spans="1:38">
      <c r="A60" s="483"/>
      <c r="B60" s="481" t="s">
        <v>74</v>
      </c>
      <c r="C60" s="491">
        <f t="shared" si="36"/>
        <v>26235211</v>
      </c>
      <c r="D60" s="491">
        <f t="shared" si="35"/>
        <v>30501971</v>
      </c>
      <c r="E60" s="491">
        <v>1818699</v>
      </c>
      <c r="F60" s="491">
        <v>2531895</v>
      </c>
      <c r="G60" s="491">
        <v>2936207</v>
      </c>
      <c r="H60" s="491">
        <v>3675604</v>
      </c>
      <c r="I60" s="543">
        <v>3517013</v>
      </c>
      <c r="J60" s="543">
        <v>3103551</v>
      </c>
      <c r="K60" s="543">
        <v>2882510</v>
      </c>
      <c r="L60" s="543">
        <v>2426511</v>
      </c>
      <c r="M60" s="543">
        <v>2096539</v>
      </c>
      <c r="N60" s="543">
        <v>1865473</v>
      </c>
      <c r="O60" s="543">
        <v>1934510</v>
      </c>
      <c r="P60" s="543">
        <v>1781233</v>
      </c>
      <c r="Q60" s="543">
        <v>1975142</v>
      </c>
      <c r="R60" s="543">
        <v>2307678</v>
      </c>
      <c r="S60" s="543">
        <v>3052956</v>
      </c>
      <c r="T60" s="543">
        <v>3180451</v>
      </c>
      <c r="U60" s="543">
        <v>3286166</v>
      </c>
      <c r="V60" s="543">
        <f>Feb!$G30</f>
        <v>2735718</v>
      </c>
      <c r="W60" s="543">
        <f>Mar!$G30</f>
        <v>2608561</v>
      </c>
      <c r="X60" s="543">
        <f>Apr!$G30</f>
        <v>2436951</v>
      </c>
      <c r="Y60" s="543">
        <f>May!$G30</f>
        <v>2203136</v>
      </c>
      <c r="Z60" s="543">
        <f>Jun!$G30</f>
        <v>1941783</v>
      </c>
      <c r="AA60" s="543">
        <f>Jul!$G30</f>
        <v>1912819</v>
      </c>
      <c r="AB60" s="543">
        <f>Aug!$G30</f>
        <v>1943542</v>
      </c>
      <c r="AC60" s="543">
        <f>Sep!$G30</f>
        <v>1945064</v>
      </c>
      <c r="AD60" s="543">
        <f>Oct!$G31</f>
        <v>2201297</v>
      </c>
      <c r="AE60" s="543">
        <f>Nov!$G31</f>
        <v>3020174</v>
      </c>
      <c r="AF60" s="543">
        <f>Dec!$G30</f>
        <v>0</v>
      </c>
    </row>
    <row r="61" spans="1:38" ht="16" thickBot="1">
      <c r="A61" s="483"/>
      <c r="B61" s="481" t="s">
        <v>21</v>
      </c>
      <c r="C61" s="542">
        <f t="shared" si="36"/>
        <v>150964902</v>
      </c>
      <c r="D61" s="542">
        <f t="shared" si="35"/>
        <v>202840773</v>
      </c>
      <c r="E61" s="542">
        <f>SUM(E53:E60)</f>
        <v>6495675</v>
      </c>
      <c r="F61" s="542">
        <f>SUM(F53:F60)</f>
        <v>16361170</v>
      </c>
      <c r="G61" s="542">
        <f t="shared" ref="G61:H61" si="37">SUM(G53:G60)</f>
        <v>24248041</v>
      </c>
      <c r="H61" s="542">
        <f t="shared" si="37"/>
        <v>34635509</v>
      </c>
      <c r="I61" s="542">
        <v>32004448</v>
      </c>
      <c r="J61" s="542">
        <v>30962664</v>
      </c>
      <c r="K61" s="542">
        <v>22927995</v>
      </c>
      <c r="L61" s="542">
        <v>14139728</v>
      </c>
      <c r="M61" s="542">
        <v>8453696</v>
      </c>
      <c r="N61" s="542">
        <v>6603119</v>
      </c>
      <c r="O61" s="542">
        <v>5839672</v>
      </c>
      <c r="P61" s="542">
        <v>5582149</v>
      </c>
      <c r="Q61" s="542">
        <v>6839096</v>
      </c>
      <c r="R61" s="542">
        <v>10604656</v>
      </c>
      <c r="S61" s="542">
        <v>25650139</v>
      </c>
      <c r="T61" s="542">
        <v>28846914</v>
      </c>
      <c r="U61" s="542">
        <v>30094197</v>
      </c>
      <c r="V61" s="542">
        <f t="shared" ref="V61:AF61" si="38">SUM(V53:V60)</f>
        <v>22001617</v>
      </c>
      <c r="W61" s="542">
        <f t="shared" si="38"/>
        <v>17611817</v>
      </c>
      <c r="X61" s="542">
        <f t="shared" si="38"/>
        <v>14163392</v>
      </c>
      <c r="Y61" s="542">
        <f t="shared" si="38"/>
        <v>7782410</v>
      </c>
      <c r="Z61" s="542">
        <f t="shared" si="38"/>
        <v>5881684</v>
      </c>
      <c r="AA61" s="542">
        <f t="shared" si="38"/>
        <v>5669948</v>
      </c>
      <c r="AB61" s="542">
        <f t="shared" si="38"/>
        <v>5554978</v>
      </c>
      <c r="AC61" s="542">
        <f t="shared" si="38"/>
        <v>7484702</v>
      </c>
      <c r="AD61" s="542">
        <f t="shared" si="38"/>
        <v>10157621</v>
      </c>
      <c r="AE61" s="542">
        <f t="shared" si="38"/>
        <v>24562536</v>
      </c>
      <c r="AF61" s="542">
        <f t="shared" si="38"/>
        <v>0</v>
      </c>
    </row>
    <row r="62" spans="1:38" ht="16" thickTop="1">
      <c r="A62" s="483"/>
      <c r="B62" s="481" t="s">
        <v>269</v>
      </c>
      <c r="C62" s="491">
        <f>SUM(U62:AF62)</f>
        <v>97535117</v>
      </c>
      <c r="D62" s="491">
        <f t="shared" si="35"/>
        <v>202840773</v>
      </c>
      <c r="E62" s="491">
        <v>6495675</v>
      </c>
      <c r="F62" s="491">
        <v>16361170</v>
      </c>
      <c r="G62" s="491">
        <v>24248041</v>
      </c>
      <c r="H62" s="491">
        <v>34635509</v>
      </c>
      <c r="I62" s="491">
        <v>32004448</v>
      </c>
      <c r="J62" s="491">
        <v>30962664</v>
      </c>
      <c r="K62" s="491">
        <v>22927995</v>
      </c>
      <c r="L62" s="491">
        <v>14139728</v>
      </c>
      <c r="M62" s="491">
        <v>8453696</v>
      </c>
      <c r="N62" s="491">
        <v>6603119</v>
      </c>
      <c r="O62" s="491">
        <v>5839672</v>
      </c>
      <c r="P62" s="491">
        <v>5582149</v>
      </c>
      <c r="Q62" s="491">
        <v>6839096</v>
      </c>
      <c r="R62" s="491">
        <v>10604656</v>
      </c>
      <c r="S62" s="491">
        <v>25650139</v>
      </c>
      <c r="T62" s="491">
        <v>28846914</v>
      </c>
      <c r="U62" s="491">
        <v>30094197</v>
      </c>
      <c r="V62" s="491">
        <v>22001617</v>
      </c>
      <c r="W62" s="491">
        <f>Mar!G32</f>
        <v>17611817</v>
      </c>
      <c r="X62" s="491">
        <v>14163392</v>
      </c>
      <c r="Y62" s="491">
        <v>7782410</v>
      </c>
      <c r="Z62" s="491">
        <v>5881684</v>
      </c>
      <c r="AA62" s="491"/>
      <c r="AB62" s="491"/>
      <c r="AC62" s="491"/>
      <c r="AD62" s="491"/>
      <c r="AE62" s="491"/>
      <c r="AF62" s="491"/>
      <c r="AG62" s="491"/>
    </row>
    <row r="63" spans="1:38">
      <c r="A63" s="483" t="s">
        <v>22</v>
      </c>
      <c r="E63" s="535"/>
      <c r="F63" s="535"/>
      <c r="G63" s="535"/>
      <c r="H63" s="535"/>
      <c r="I63" s="535"/>
      <c r="J63" s="535"/>
      <c r="K63" s="535"/>
      <c r="L63" s="535"/>
      <c r="M63" s="535"/>
      <c r="N63" s="535"/>
      <c r="O63" s="535"/>
      <c r="P63" s="535"/>
      <c r="Q63" s="535"/>
      <c r="R63" s="535"/>
      <c r="S63" s="535"/>
      <c r="T63" s="535"/>
      <c r="U63" s="535"/>
      <c r="V63" s="535"/>
      <c r="W63" s="535"/>
      <c r="X63" s="535"/>
      <c r="Y63" s="535"/>
      <c r="Z63" s="535"/>
      <c r="AA63" s="535"/>
      <c r="AB63" s="535"/>
      <c r="AC63" s="535"/>
      <c r="AD63" s="535"/>
      <c r="AE63" s="535"/>
      <c r="AF63" s="535"/>
      <c r="AI63" s="539"/>
    </row>
    <row r="64" spans="1:38">
      <c r="A64" s="484">
        <v>191025</v>
      </c>
      <c r="B64" s="485" t="s">
        <v>256</v>
      </c>
      <c r="E64" s="484">
        <v>201309</v>
      </c>
      <c r="F64" s="484">
        <f>E64+1</f>
        <v>201310</v>
      </c>
      <c r="G64" s="484">
        <f>F64+1</f>
        <v>201311</v>
      </c>
      <c r="H64" s="484">
        <f>G64+1</f>
        <v>201312</v>
      </c>
      <c r="I64" s="484">
        <v>201401</v>
      </c>
      <c r="J64" s="484">
        <v>201402</v>
      </c>
      <c r="K64" s="484">
        <v>201403</v>
      </c>
      <c r="L64" s="484">
        <v>201404</v>
      </c>
      <c r="M64" s="484">
        <v>201405</v>
      </c>
      <c r="N64" s="484">
        <v>201406</v>
      </c>
      <c r="O64" s="484">
        <v>201407</v>
      </c>
      <c r="P64" s="484">
        <v>201408</v>
      </c>
      <c r="Q64" s="484">
        <v>201409</v>
      </c>
      <c r="R64" s="484">
        <v>201410</v>
      </c>
      <c r="S64" s="484">
        <v>201411</v>
      </c>
      <c r="T64" s="484">
        <v>201412</v>
      </c>
      <c r="U64" s="484">
        <v>201501</v>
      </c>
      <c r="V64" s="484">
        <f t="shared" ref="V64:AD64" si="39">U64+1</f>
        <v>201502</v>
      </c>
      <c r="W64" s="484">
        <f t="shared" si="39"/>
        <v>201503</v>
      </c>
      <c r="X64" s="484">
        <f t="shared" si="39"/>
        <v>201504</v>
      </c>
      <c r="Y64" s="484">
        <f t="shared" si="39"/>
        <v>201505</v>
      </c>
      <c r="Z64" s="484">
        <f t="shared" si="39"/>
        <v>201506</v>
      </c>
      <c r="AA64" s="484">
        <f t="shared" si="39"/>
        <v>201507</v>
      </c>
      <c r="AB64" s="484">
        <f t="shared" si="39"/>
        <v>201508</v>
      </c>
      <c r="AC64" s="484">
        <f t="shared" si="39"/>
        <v>201509</v>
      </c>
      <c r="AD64" s="484">
        <f t="shared" si="39"/>
        <v>201510</v>
      </c>
      <c r="AE64" s="484">
        <f>AD64+1</f>
        <v>201511</v>
      </c>
      <c r="AF64" s="484">
        <f t="shared" ref="AF64" si="40">AE64+1</f>
        <v>201512</v>
      </c>
    </row>
    <row r="65" spans="1:39">
      <c r="A65" s="483"/>
      <c r="B65" s="481" t="s">
        <v>37</v>
      </c>
      <c r="E65" s="492">
        <v>-2.1900000000000001E-3</v>
      </c>
      <c r="F65" s="492">
        <v>-2.1900000000000001E-3</v>
      </c>
      <c r="G65" s="496" t="s">
        <v>270</v>
      </c>
      <c r="H65" s="496" t="s">
        <v>270</v>
      </c>
      <c r="I65" s="492">
        <v>-3.8999999999999999E-4</v>
      </c>
      <c r="J65" s="492">
        <v>-3.8999999999999999E-4</v>
      </c>
      <c r="K65" s="492">
        <v>-3.8999999999999999E-4</v>
      </c>
      <c r="L65" s="492">
        <v>-3.8999999999999999E-4</v>
      </c>
      <c r="M65" s="492">
        <v>-3.8999999999999999E-4</v>
      </c>
      <c r="N65" s="492">
        <v>-3.8999999999999999E-4</v>
      </c>
      <c r="O65" s="492">
        <v>-3.8999999999999999E-4</v>
      </c>
      <c r="P65" s="492">
        <v>-3.8999999999999999E-4</v>
      </c>
      <c r="Q65" s="492">
        <v>-3.8999999999999999E-4</v>
      </c>
      <c r="R65" s="492">
        <v>-3.8999999999999999E-4</v>
      </c>
      <c r="S65" s="496" t="s">
        <v>270</v>
      </c>
      <c r="T65" s="496" t="s">
        <v>270</v>
      </c>
      <c r="U65" s="492">
        <v>2.5000000000000001E-4</v>
      </c>
      <c r="V65" s="492">
        <v>2.5000000000000001E-4</v>
      </c>
      <c r="W65" s="492">
        <v>2.5000000000000001E-4</v>
      </c>
      <c r="X65" s="492">
        <v>2.5000000000000001E-4</v>
      </c>
      <c r="Y65" s="492">
        <v>2.5000000000000001E-4</v>
      </c>
      <c r="Z65" s="492">
        <v>2.5000000000000001E-4</v>
      </c>
      <c r="AA65" s="492">
        <v>2.5000000000000001E-4</v>
      </c>
      <c r="AB65" s="492">
        <v>2.5000000000000001E-4</v>
      </c>
      <c r="AC65" s="492">
        <v>2.5000000000000001E-4</v>
      </c>
      <c r="AD65" s="492">
        <v>2.5000000000000001E-4</v>
      </c>
      <c r="AE65" s="496" t="s">
        <v>270</v>
      </c>
      <c r="AF65" s="496" t="s">
        <v>270</v>
      </c>
    </row>
    <row r="66" spans="1:39">
      <c r="A66" s="483"/>
      <c r="B66" s="481" t="s">
        <v>38</v>
      </c>
      <c r="E66" s="492">
        <v>-2.1900000000000001E-3</v>
      </c>
      <c r="F66" s="492">
        <v>-2.1900000000000001E-3</v>
      </c>
      <c r="G66" s="496" t="s">
        <v>270</v>
      </c>
      <c r="H66" s="496" t="s">
        <v>270</v>
      </c>
      <c r="I66" s="492">
        <v>-3.8999999999999999E-4</v>
      </c>
      <c r="J66" s="492">
        <v>-3.8999999999999999E-4</v>
      </c>
      <c r="K66" s="492">
        <v>-3.8999999999999999E-4</v>
      </c>
      <c r="L66" s="492">
        <v>-3.8999999999999999E-4</v>
      </c>
      <c r="M66" s="492">
        <v>-3.8999999999999999E-4</v>
      </c>
      <c r="N66" s="492">
        <v>-3.8999999999999999E-4</v>
      </c>
      <c r="O66" s="492">
        <v>-3.8999999999999999E-4</v>
      </c>
      <c r="P66" s="492">
        <v>-3.8999999999999999E-4</v>
      </c>
      <c r="Q66" s="492">
        <v>-3.8999999999999999E-4</v>
      </c>
      <c r="R66" s="492">
        <v>-3.8999999999999999E-4</v>
      </c>
      <c r="S66" s="496" t="s">
        <v>270</v>
      </c>
      <c r="T66" s="496" t="s">
        <v>270</v>
      </c>
      <c r="U66" s="492">
        <v>2.5000000000000001E-4</v>
      </c>
      <c r="V66" s="492">
        <v>2.5000000000000001E-4</v>
      </c>
      <c r="W66" s="492">
        <v>2.5000000000000001E-4</v>
      </c>
      <c r="X66" s="492">
        <v>2.5000000000000001E-4</v>
      </c>
      <c r="Y66" s="492">
        <v>2.5000000000000001E-4</v>
      </c>
      <c r="Z66" s="492">
        <v>2.5000000000000001E-4</v>
      </c>
      <c r="AA66" s="492">
        <v>2.5000000000000001E-4</v>
      </c>
      <c r="AB66" s="492">
        <v>2.5000000000000001E-4</v>
      </c>
      <c r="AC66" s="492">
        <v>2.5000000000000001E-4</v>
      </c>
      <c r="AD66" s="492">
        <v>2.5000000000000001E-4</v>
      </c>
      <c r="AE66" s="496" t="s">
        <v>270</v>
      </c>
      <c r="AF66" s="496" t="s">
        <v>270</v>
      </c>
    </row>
    <row r="67" spans="1:39">
      <c r="A67" s="483"/>
      <c r="B67" s="481" t="s">
        <v>39</v>
      </c>
      <c r="E67" s="492">
        <v>-2.1900000000000001E-3</v>
      </c>
      <c r="F67" s="492">
        <v>-2.1900000000000001E-3</v>
      </c>
      <c r="G67" s="496" t="s">
        <v>270</v>
      </c>
      <c r="H67" s="496" t="s">
        <v>270</v>
      </c>
      <c r="I67" s="492">
        <v>-3.8999999999999999E-4</v>
      </c>
      <c r="J67" s="492">
        <v>-3.8999999999999999E-4</v>
      </c>
      <c r="K67" s="492">
        <v>-3.8999999999999999E-4</v>
      </c>
      <c r="L67" s="492">
        <v>-3.8999999999999999E-4</v>
      </c>
      <c r="M67" s="492">
        <v>-3.8999999999999999E-4</v>
      </c>
      <c r="N67" s="492">
        <v>-3.8999999999999999E-4</v>
      </c>
      <c r="O67" s="492">
        <v>-3.8999999999999999E-4</v>
      </c>
      <c r="P67" s="492">
        <v>-3.8999999999999999E-4</v>
      </c>
      <c r="Q67" s="492">
        <v>-3.8999999999999999E-4</v>
      </c>
      <c r="R67" s="492">
        <v>-3.8999999999999999E-4</v>
      </c>
      <c r="S67" s="496" t="s">
        <v>270</v>
      </c>
      <c r="T67" s="496" t="s">
        <v>270</v>
      </c>
      <c r="U67" s="492">
        <v>2.5000000000000001E-4</v>
      </c>
      <c r="V67" s="492">
        <v>2.5000000000000001E-4</v>
      </c>
      <c r="W67" s="492">
        <v>2.5000000000000001E-4</v>
      </c>
      <c r="X67" s="492">
        <v>2.5000000000000001E-4</v>
      </c>
      <c r="Y67" s="492">
        <v>2.5000000000000001E-4</v>
      </c>
      <c r="Z67" s="492">
        <v>2.5000000000000001E-4</v>
      </c>
      <c r="AA67" s="492">
        <v>2.5000000000000001E-4</v>
      </c>
      <c r="AB67" s="492">
        <v>2.5000000000000001E-4</v>
      </c>
      <c r="AC67" s="492">
        <v>2.5000000000000001E-4</v>
      </c>
      <c r="AD67" s="492">
        <v>2.5000000000000001E-4</v>
      </c>
      <c r="AE67" s="496" t="s">
        <v>270</v>
      </c>
      <c r="AF67" s="496" t="s">
        <v>270</v>
      </c>
    </row>
    <row r="68" spans="1:39">
      <c r="A68" s="483"/>
      <c r="B68" s="481" t="s">
        <v>40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270</v>
      </c>
      <c r="AF68" s="496" t="s">
        <v>270</v>
      </c>
    </row>
    <row r="69" spans="1:39">
      <c r="A69" s="483"/>
      <c r="B69" s="481" t="s">
        <v>41</v>
      </c>
      <c r="E69" s="492">
        <v>-2.1900000000000001E-3</v>
      </c>
      <c r="F69" s="492">
        <v>-2.1900000000000001E-3</v>
      </c>
      <c r="G69" s="496" t="s">
        <v>270</v>
      </c>
      <c r="H69" s="496" t="s">
        <v>270</v>
      </c>
      <c r="I69" s="492">
        <v>-3.8999999999999999E-4</v>
      </c>
      <c r="J69" s="492">
        <v>-3.8999999999999999E-4</v>
      </c>
      <c r="K69" s="492">
        <v>-3.8999999999999999E-4</v>
      </c>
      <c r="L69" s="492">
        <v>-3.8999999999999999E-4</v>
      </c>
      <c r="M69" s="492">
        <v>-3.8999999999999999E-4</v>
      </c>
      <c r="N69" s="492">
        <v>-3.8999999999999999E-4</v>
      </c>
      <c r="O69" s="492">
        <v>-3.8999999999999999E-4</v>
      </c>
      <c r="P69" s="492">
        <v>-3.8999999999999999E-4</v>
      </c>
      <c r="Q69" s="492">
        <v>-3.8999999999999999E-4</v>
      </c>
      <c r="R69" s="492">
        <v>-3.8999999999999999E-4</v>
      </c>
      <c r="S69" s="496" t="s">
        <v>270</v>
      </c>
      <c r="T69" s="496" t="s">
        <v>270</v>
      </c>
      <c r="U69" s="492">
        <v>2.5000000000000001E-4</v>
      </c>
      <c r="V69" s="492">
        <v>2.5000000000000001E-4</v>
      </c>
      <c r="W69" s="492">
        <v>2.5000000000000001E-4</v>
      </c>
      <c r="X69" s="492">
        <v>2.5000000000000001E-4</v>
      </c>
      <c r="Y69" s="492">
        <v>2.5000000000000001E-4</v>
      </c>
      <c r="Z69" s="492">
        <v>2.5000000000000001E-4</v>
      </c>
      <c r="AA69" s="492">
        <v>2.5000000000000001E-4</v>
      </c>
      <c r="AB69" s="492">
        <v>2.5000000000000001E-4</v>
      </c>
      <c r="AC69" s="492">
        <v>2.5000000000000001E-4</v>
      </c>
      <c r="AD69" s="492">
        <v>2.5000000000000001E-4</v>
      </c>
      <c r="AE69" s="496" t="s">
        <v>270</v>
      </c>
      <c r="AF69" s="496" t="s">
        <v>270</v>
      </c>
    </row>
    <row r="70" spans="1:39" ht="16" thickBot="1">
      <c r="A70" s="483"/>
      <c r="B70" s="481" t="s">
        <v>42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270</v>
      </c>
      <c r="AF70" s="496" t="s">
        <v>270</v>
      </c>
    </row>
    <row r="71" spans="1:39" ht="16" thickBot="1">
      <c r="A71" s="483"/>
      <c r="B71" s="481" t="s">
        <v>43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270</v>
      </c>
      <c r="AF71" s="496" t="s">
        <v>270</v>
      </c>
      <c r="AH71" s="522">
        <f>AH4</f>
        <v>201506</v>
      </c>
      <c r="AI71" s="531"/>
      <c r="AJ71" s="523"/>
      <c r="AK71" s="523"/>
      <c r="AL71" s="523"/>
      <c r="AM71" s="524"/>
    </row>
    <row r="72" spans="1:39">
      <c r="A72" s="483"/>
      <c r="B72" s="481" t="s">
        <v>74</v>
      </c>
      <c r="E72" s="492">
        <v>-2.0000000000000001E-4</v>
      </c>
      <c r="F72" s="492">
        <v>-2.0000000000000001E-4</v>
      </c>
      <c r="G72" s="496" t="s">
        <v>270</v>
      </c>
      <c r="H72" s="496" t="s">
        <v>270</v>
      </c>
      <c r="I72" s="492">
        <v>-4.0000000000000003E-5</v>
      </c>
      <c r="J72" s="492">
        <v>-4.0000000000000003E-5</v>
      </c>
      <c r="K72" s="492">
        <v>-4.0000000000000003E-5</v>
      </c>
      <c r="L72" s="492">
        <v>-4.0000000000000003E-5</v>
      </c>
      <c r="M72" s="492">
        <v>-4.0000000000000003E-5</v>
      </c>
      <c r="N72" s="492">
        <v>-4.0000000000000003E-5</v>
      </c>
      <c r="O72" s="492">
        <v>-4.0000000000000003E-5</v>
      </c>
      <c r="P72" s="492">
        <v>-4.0000000000000003E-5</v>
      </c>
      <c r="Q72" s="492">
        <v>-4.0000000000000003E-5</v>
      </c>
      <c r="R72" s="492">
        <v>-4.0000000000000003E-5</v>
      </c>
      <c r="S72" s="496" t="s">
        <v>270</v>
      </c>
      <c r="T72" s="496" t="s">
        <v>270</v>
      </c>
      <c r="U72" s="492">
        <v>4.0000000000000003E-5</v>
      </c>
      <c r="V72" s="492">
        <v>4.0000000000000003E-5</v>
      </c>
      <c r="W72" s="492">
        <v>4.0000000000000003E-5</v>
      </c>
      <c r="X72" s="492">
        <v>4.0000000000000003E-5</v>
      </c>
      <c r="Y72" s="492">
        <v>4.0000000000000003E-5</v>
      </c>
      <c r="Z72" s="492">
        <v>4.0000000000000003E-5</v>
      </c>
      <c r="AA72" s="492">
        <v>4.0000000000000003E-5</v>
      </c>
      <c r="AB72" s="492">
        <v>4.0000000000000003E-5</v>
      </c>
      <c r="AC72" s="492">
        <v>4.0000000000000003E-5</v>
      </c>
      <c r="AD72" s="492">
        <v>4.0000000000000003E-5</v>
      </c>
      <c r="AE72" s="496" t="s">
        <v>270</v>
      </c>
      <c r="AF72" s="496" t="s">
        <v>270</v>
      </c>
      <c r="AH72" s="499" t="s">
        <v>302</v>
      </c>
      <c r="AI72" s="528">
        <v>191025</v>
      </c>
      <c r="AJ72" s="358" t="s">
        <v>288</v>
      </c>
      <c r="AK72" s="358" t="s">
        <v>289</v>
      </c>
      <c r="AL72" s="381">
        <f>IF((SUMIF(U74:AF74,AH71,U76:AF76))&gt;0,(SUMIF(U74:AF74,AH71,U76:AF76)),0)</f>
        <v>1062.6465700000001</v>
      </c>
      <c r="AM72" s="500">
        <f>IF((SUMIF(U74:AF74,AH71,U76:AF76))&lt;0,-(SUMIF(U74:AF74,AH71,U76:AF76)),0)</f>
        <v>0</v>
      </c>
    </row>
    <row r="73" spans="1:39">
      <c r="A73" s="483" t="s">
        <v>293</v>
      </c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92"/>
      <c r="Y73" s="492"/>
      <c r="Z73" s="492"/>
      <c r="AA73" s="492"/>
      <c r="AB73" s="492"/>
      <c r="AC73" s="492"/>
      <c r="AD73" s="492"/>
      <c r="AE73" s="492"/>
      <c r="AF73" s="492"/>
      <c r="AH73" s="499" t="s">
        <v>303</v>
      </c>
      <c r="AI73" s="528">
        <v>805110</v>
      </c>
      <c r="AJ73" s="358" t="s">
        <v>288</v>
      </c>
      <c r="AK73" s="358" t="s">
        <v>289</v>
      </c>
      <c r="AL73" s="381">
        <f>IF((SUMIF(U74:AF74,AH71,U76:AF76))&lt;0,-(SUMIF(U74:AF74,AH71,U76:AF76)),0)</f>
        <v>0</v>
      </c>
      <c r="AM73" s="500">
        <f>IF((SUMIF(U74:AF74,AH71,U76:AF76))&gt;0,(SUMIF(U74:AF74,AH71,U76:AF76)),0)</f>
        <v>1062.6465700000001</v>
      </c>
    </row>
    <row r="74" spans="1:39" s="483" customFormat="1">
      <c r="A74" s="484">
        <v>191025</v>
      </c>
      <c r="B74" s="485" t="s">
        <v>256</v>
      </c>
      <c r="C74" s="486" t="s">
        <v>251</v>
      </c>
      <c r="D74" s="685" t="s">
        <v>252</v>
      </c>
      <c r="E74" s="484">
        <v>201309</v>
      </c>
      <c r="F74" s="484">
        <f>E74+1</f>
        <v>201310</v>
      </c>
      <c r="G74" s="484">
        <f>F74+1</f>
        <v>201311</v>
      </c>
      <c r="H74" s="484">
        <f>G74+1</f>
        <v>201312</v>
      </c>
      <c r="I74" s="484">
        <v>201401</v>
      </c>
      <c r="J74" s="484">
        <v>201402</v>
      </c>
      <c r="K74" s="484">
        <v>201403</v>
      </c>
      <c r="L74" s="484">
        <v>201404</v>
      </c>
      <c r="M74" s="484">
        <v>201405</v>
      </c>
      <c r="N74" s="484">
        <v>201406</v>
      </c>
      <c r="O74" s="484">
        <v>201407</v>
      </c>
      <c r="P74" s="484">
        <v>201408</v>
      </c>
      <c r="Q74" s="484">
        <v>201409</v>
      </c>
      <c r="R74" s="484">
        <v>201410</v>
      </c>
      <c r="S74" s="484">
        <v>201411</v>
      </c>
      <c r="T74" s="484">
        <v>201412</v>
      </c>
      <c r="U74" s="484">
        <v>201501</v>
      </c>
      <c r="V74" s="484">
        <f t="shared" ref="V74:AD74" si="41">U74+1</f>
        <v>201502</v>
      </c>
      <c r="W74" s="484">
        <f t="shared" si="41"/>
        <v>201503</v>
      </c>
      <c r="X74" s="484">
        <f t="shared" si="41"/>
        <v>201504</v>
      </c>
      <c r="Y74" s="484">
        <f t="shared" si="41"/>
        <v>201505</v>
      </c>
      <c r="Z74" s="484">
        <f t="shared" si="41"/>
        <v>201506</v>
      </c>
      <c r="AA74" s="484">
        <f t="shared" si="41"/>
        <v>201507</v>
      </c>
      <c r="AB74" s="484">
        <f t="shared" si="41"/>
        <v>201508</v>
      </c>
      <c r="AC74" s="484">
        <f t="shared" si="41"/>
        <v>201509</v>
      </c>
      <c r="AD74" s="484">
        <f t="shared" si="41"/>
        <v>201510</v>
      </c>
      <c r="AE74" s="484">
        <f>AD74+1</f>
        <v>201511</v>
      </c>
      <c r="AF74" s="484">
        <f t="shared" ref="AF74" si="42">AE74+1</f>
        <v>201512</v>
      </c>
      <c r="AH74" s="499" t="s">
        <v>273</v>
      </c>
      <c r="AI74" s="528"/>
      <c r="AJ74" s="358"/>
      <c r="AK74" s="358"/>
      <c r="AL74" s="381">
        <v>0</v>
      </c>
      <c r="AM74" s="500">
        <v>0</v>
      </c>
    </row>
    <row r="75" spans="1:39" ht="16" thickBot="1">
      <c r="A75" s="493"/>
      <c r="B75" s="481" t="s">
        <v>253</v>
      </c>
      <c r="E75" s="482">
        <v>49539.047030000002</v>
      </c>
      <c r="F75" s="482">
        <f>E78</f>
        <v>38932.729789999998</v>
      </c>
      <c r="G75" s="482">
        <f>F78</f>
        <v>8140.2385399999985</v>
      </c>
      <c r="H75" s="482">
        <f>G78</f>
        <v>-693.68146000000161</v>
      </c>
      <c r="I75" s="482">
        <v>-13695.721460000002</v>
      </c>
      <c r="J75" s="482">
        <v>-24946.501630000002</v>
      </c>
      <c r="K75" s="482">
        <v>-35935.697740000003</v>
      </c>
      <c r="L75" s="482">
        <v>-43868.737290000005</v>
      </c>
      <c r="M75" s="482">
        <v>-48533.952360000003</v>
      </c>
      <c r="N75" s="482">
        <v>-51097.105150000003</v>
      </c>
      <c r="O75" s="482">
        <v>-53019.406010000006</v>
      </c>
      <c r="P75" s="482">
        <v>-54619.79959000001</v>
      </c>
      <c r="Q75" s="482">
        <v>-56173.40615000001</v>
      </c>
      <c r="R75" s="482">
        <v>-58149.353890000013</v>
      </c>
      <c r="S75" s="482">
        <v>-61477.482430000011</v>
      </c>
      <c r="T75" s="482">
        <v>-56200.445640000013</v>
      </c>
      <c r="U75" s="482">
        <v>-49897.475640000011</v>
      </c>
      <c r="V75" s="482">
        <f>U78</f>
        <v>-43064.021250000013</v>
      </c>
      <c r="W75" s="482">
        <f t="shared" ref="W75:AD75" si="43">V78</f>
        <v>-38138.117780000015</v>
      </c>
      <c r="X75" s="482">
        <f t="shared" si="43"/>
        <v>-34282.961340000016</v>
      </c>
      <c r="Y75" s="482">
        <f t="shared" si="43"/>
        <v>-31253.873050000017</v>
      </c>
      <c r="Z75" s="482">
        <f t="shared" si="43"/>
        <v>-29770.929110000015</v>
      </c>
      <c r="AA75" s="482">
        <f t="shared" si="43"/>
        <v>-28708.282540000015</v>
      </c>
      <c r="AB75" s="482">
        <f t="shared" si="43"/>
        <v>-27692.487530000013</v>
      </c>
      <c r="AC75" s="482">
        <f t="shared" si="43"/>
        <v>-26711.886850000014</v>
      </c>
      <c r="AD75" s="482">
        <f t="shared" si="43"/>
        <v>-25249.174790000012</v>
      </c>
      <c r="AE75" s="482">
        <f>AD78</f>
        <v>-23172.041910000011</v>
      </c>
      <c r="AF75" s="482">
        <f>AE78</f>
        <v>-23172.041910000011</v>
      </c>
      <c r="AH75" s="501" t="s">
        <v>273</v>
      </c>
      <c r="AI75" s="529"/>
      <c r="AJ75" s="502"/>
      <c r="AK75" s="502"/>
      <c r="AL75" s="503">
        <v>0</v>
      </c>
      <c r="AM75" s="521">
        <v>0</v>
      </c>
    </row>
    <row r="76" spans="1:39" ht="16" thickBot="1">
      <c r="B76" s="481" t="s">
        <v>23</v>
      </c>
      <c r="C76" s="482">
        <f>SUM(U76:AF76)</f>
        <v>26725.433730000008</v>
      </c>
      <c r="D76" s="494">
        <f>SUM(G76:R76)</f>
        <v>-69617.720970000009</v>
      </c>
      <c r="E76" s="482">
        <f>SUMPRODUCT(E53:E60,E65:E72)</f>
        <v>-10606.31724</v>
      </c>
      <c r="F76" s="482">
        <f>SUMPRODUCT(F53:F60,F65:F72)</f>
        <v>-30792.491249999999</v>
      </c>
      <c r="G76" s="482">
        <v>-8833.92</v>
      </c>
      <c r="H76" s="482">
        <v>-13002.04</v>
      </c>
      <c r="I76" s="482">
        <v>-11250.78017</v>
      </c>
      <c r="J76" s="482">
        <v>-10989.196110000001</v>
      </c>
      <c r="K76" s="482">
        <v>-7933.0395500000013</v>
      </c>
      <c r="L76" s="482">
        <v>-4665.2150699999993</v>
      </c>
      <c r="M76" s="482">
        <v>-2563.1527899999996</v>
      </c>
      <c r="N76" s="482">
        <v>-1922.3008600000003</v>
      </c>
      <c r="O76" s="482">
        <v>-1600.3935799999999</v>
      </c>
      <c r="P76" s="482">
        <v>-1553.6065599999997</v>
      </c>
      <c r="Q76" s="482">
        <v>-1975.9477400000001</v>
      </c>
      <c r="R76" s="482">
        <v>-3328.1285399999992</v>
      </c>
      <c r="S76" s="557">
        <v>5277.0367900000001</v>
      </c>
      <c r="T76" s="557">
        <v>6302.97</v>
      </c>
      <c r="U76" s="482">
        <v>6833.4543899999999</v>
      </c>
      <c r="V76" s="482">
        <f t="shared" ref="V76:AD76" si="44">SUMPRODUCT(V53:V60,V65:V72)</f>
        <v>4925.9034700000011</v>
      </c>
      <c r="W76" s="482">
        <f t="shared" si="44"/>
        <v>3855.1564400000007</v>
      </c>
      <c r="X76" s="482">
        <f t="shared" si="44"/>
        <v>3029.0882899999997</v>
      </c>
      <c r="Y76" s="482">
        <f t="shared" si="44"/>
        <v>1482.9439400000001</v>
      </c>
      <c r="Z76" s="482">
        <f t="shared" si="44"/>
        <v>1062.6465700000001</v>
      </c>
      <c r="AA76" s="482">
        <f t="shared" si="44"/>
        <v>1015.7950099999999</v>
      </c>
      <c r="AB76" s="482">
        <f t="shared" si="44"/>
        <v>980.60068000000001</v>
      </c>
      <c r="AC76" s="482">
        <f t="shared" si="44"/>
        <v>1462.7120600000003</v>
      </c>
      <c r="AD76" s="482">
        <f t="shared" si="44"/>
        <v>2077.1328800000001</v>
      </c>
      <c r="AE76" s="563"/>
      <c r="AF76" s="563"/>
      <c r="AH76" s="516"/>
      <c r="AI76" s="530"/>
      <c r="AJ76" s="517"/>
      <c r="AK76" s="517"/>
      <c r="AL76" s="517" t="s">
        <v>159</v>
      </c>
      <c r="AM76" s="518">
        <f>SUM(AL72:AL75)-SUM(AM72:AM75)</f>
        <v>0</v>
      </c>
    </row>
    <row r="77" spans="1:39">
      <c r="B77" s="481" t="s">
        <v>148</v>
      </c>
      <c r="C77" s="482">
        <f>SUM(I77:T77)</f>
        <v>0</v>
      </c>
      <c r="E77" s="482">
        <v>0</v>
      </c>
      <c r="F77" s="482">
        <v>0</v>
      </c>
      <c r="G77" s="482">
        <v>0</v>
      </c>
      <c r="H77" s="482">
        <v>0</v>
      </c>
      <c r="I77" s="482">
        <v>0</v>
      </c>
      <c r="J77" s="482">
        <v>0</v>
      </c>
      <c r="K77" s="482">
        <v>0</v>
      </c>
      <c r="L77" s="482">
        <v>0</v>
      </c>
      <c r="M77" s="482">
        <v>0</v>
      </c>
      <c r="N77" s="482">
        <v>0</v>
      </c>
      <c r="O77" s="482">
        <v>0</v>
      </c>
      <c r="P77" s="482">
        <v>0</v>
      </c>
      <c r="Q77" s="482">
        <v>0</v>
      </c>
      <c r="R77" s="482">
        <v>0</v>
      </c>
      <c r="S77" s="482">
        <v>0</v>
      </c>
      <c r="T77" s="482">
        <v>0</v>
      </c>
      <c r="U77" s="482">
        <v>0</v>
      </c>
      <c r="V77" s="482">
        <v>0</v>
      </c>
      <c r="W77" s="482">
        <v>0</v>
      </c>
      <c r="X77" s="482">
        <v>0</v>
      </c>
      <c r="Y77" s="482">
        <v>0</v>
      </c>
      <c r="Z77" s="482">
        <v>0</v>
      </c>
      <c r="AA77" s="482">
        <v>0</v>
      </c>
      <c r="AB77" s="482">
        <v>0</v>
      </c>
      <c r="AC77" s="482">
        <v>0</v>
      </c>
      <c r="AD77" s="482">
        <v>0</v>
      </c>
      <c r="AE77" s="482">
        <v>0</v>
      </c>
      <c r="AF77" s="482">
        <v>0</v>
      </c>
    </row>
    <row r="78" spans="1:39" ht="16" thickBot="1">
      <c r="B78" s="481" t="s">
        <v>56</v>
      </c>
      <c r="C78" s="541">
        <f>SUM(C76:C77)</f>
        <v>26725.433730000008</v>
      </c>
      <c r="D78" s="541"/>
      <c r="E78" s="541">
        <f t="shared" ref="E78:H78" si="45">SUM(E75:E77)</f>
        <v>38932.729789999998</v>
      </c>
      <c r="F78" s="541">
        <f t="shared" si="45"/>
        <v>8140.2385399999985</v>
      </c>
      <c r="G78" s="541">
        <f t="shared" si="45"/>
        <v>-693.68146000000161</v>
      </c>
      <c r="H78" s="541">
        <f t="shared" si="45"/>
        <v>-13695.721460000002</v>
      </c>
      <c r="I78" s="541">
        <v>-24946.501630000002</v>
      </c>
      <c r="J78" s="541">
        <v>-35935.697740000003</v>
      </c>
      <c r="K78" s="541">
        <v>-43868.737290000005</v>
      </c>
      <c r="L78" s="541">
        <v>-48533.952360000003</v>
      </c>
      <c r="M78" s="541">
        <v>-51097.105150000003</v>
      </c>
      <c r="N78" s="541">
        <v>-53019.406010000006</v>
      </c>
      <c r="O78" s="541">
        <v>-54619.79959000001</v>
      </c>
      <c r="P78" s="541">
        <v>-56173.40615000001</v>
      </c>
      <c r="Q78" s="541">
        <v>-58149.353890000013</v>
      </c>
      <c r="R78" s="541">
        <v>-61477.482430000011</v>
      </c>
      <c r="S78" s="541">
        <v>-56200.445640000013</v>
      </c>
      <c r="T78" s="541">
        <v>-49897.475640000011</v>
      </c>
      <c r="U78" s="541">
        <v>-43064.021250000013</v>
      </c>
      <c r="V78" s="541">
        <f t="shared" ref="V78:AF78" si="46">SUM(V75:V77)</f>
        <v>-38138.117780000015</v>
      </c>
      <c r="W78" s="541">
        <f t="shared" si="46"/>
        <v>-34282.961340000016</v>
      </c>
      <c r="X78" s="541">
        <f t="shared" si="46"/>
        <v>-31253.873050000017</v>
      </c>
      <c r="Y78" s="541">
        <f t="shared" si="46"/>
        <v>-29770.929110000015</v>
      </c>
      <c r="Z78" s="541">
        <f t="shared" si="46"/>
        <v>-28708.282540000015</v>
      </c>
      <c r="AA78" s="541">
        <f t="shared" si="46"/>
        <v>-27692.487530000013</v>
      </c>
      <c r="AB78" s="541">
        <f t="shared" si="46"/>
        <v>-26711.886850000014</v>
      </c>
      <c r="AC78" s="541">
        <f t="shared" si="46"/>
        <v>-25249.174790000012</v>
      </c>
      <c r="AD78" s="541">
        <f t="shared" si="46"/>
        <v>-23172.041910000011</v>
      </c>
      <c r="AE78" s="541">
        <f t="shared" si="46"/>
        <v>-23172.041910000011</v>
      </c>
      <c r="AF78" s="541">
        <f t="shared" si="46"/>
        <v>-23172.041910000011</v>
      </c>
    </row>
    <row r="79" spans="1:39" ht="16" thickTop="1">
      <c r="B79" s="481" t="s">
        <v>260</v>
      </c>
      <c r="E79" s="482" t="e">
        <f ca="1">_xll.Get_Balance(E74,"YTD","USD","Total","A","","001",$A$74,"GD","WA","DL")</f>
        <v>#NAME?</v>
      </c>
      <c r="F79" s="482" t="e">
        <f ca="1">_xll.Get_Balance(F74,"YTD","USD","Total","A","","001",$A$74,"GD","WA","DL")</f>
        <v>#NAME?</v>
      </c>
      <c r="G79" s="482" t="e">
        <f ca="1">_xll.Get_Balance(G74,"YTD","USD","Total","A","","001",$A$74,"GD","WA","DL")</f>
        <v>#NAME?</v>
      </c>
      <c r="H79" s="482" t="e">
        <f ca="1">_xll.Get_Balance(H74,"YTD","USD","Total","A","","001",$A$74,"GD","WA","DL")</f>
        <v>#NAME?</v>
      </c>
      <c r="I79" s="482">
        <v>-24946.5</v>
      </c>
      <c r="J79" s="482">
        <v>-35935.699999999997</v>
      </c>
      <c r="K79" s="482">
        <v>-43868.74</v>
      </c>
      <c r="L79" s="482">
        <v>-48533.96</v>
      </c>
      <c r="M79" s="482">
        <v>-51097.11</v>
      </c>
      <c r="N79" s="482">
        <v>-53019.41</v>
      </c>
      <c r="O79" s="482">
        <v>-54619.8</v>
      </c>
      <c r="P79" s="482">
        <v>-56173.41</v>
      </c>
      <c r="Q79" s="482">
        <v>-58149.36</v>
      </c>
      <c r="R79" s="482">
        <v>-61477.49</v>
      </c>
      <c r="S79" s="482">
        <v>-56200.45</v>
      </c>
      <c r="T79" s="482">
        <v>-49897.48</v>
      </c>
      <c r="U79" s="482">
        <v>-43064.03</v>
      </c>
      <c r="V79" s="482" t="e">
        <f ca="1">_xll.Get_Balance(V74,"YTD","USD","Total","A","","001",$A$74,"GD","WA","DL")</f>
        <v>#NAME?</v>
      </c>
      <c r="W79" s="482" t="e">
        <f ca="1">_xll.Get_Balance(W74,"YTD","USD","Total","A","","001",$A$74,"GD","WA","DL")</f>
        <v>#NAME?</v>
      </c>
      <c r="X79" s="482" t="e">
        <f ca="1">_xll.Get_Balance(X74,"YTD","USD","Total","A","","001",$A$74,"GD","WA","DL")</f>
        <v>#NAME?</v>
      </c>
      <c r="Y79" s="482" t="e">
        <f ca="1">_xll.Get_Balance(Y74,"YTD","USD","Total","A","","001",$A$74,"GD","WA","DL")</f>
        <v>#NAME?</v>
      </c>
      <c r="Z79" s="482" t="e">
        <f ca="1">_xll.Get_Balance(Z74,"YTD","USD","Total","A","","001",$A$74,"GD","WA","DL")</f>
        <v>#NAME?</v>
      </c>
      <c r="AA79" s="482" t="e">
        <f ca="1">_xll.Get_Balance(AA74,"YTD","USD","Total","A","","001",$A$74,"GD","WA","DL")</f>
        <v>#NAME?</v>
      </c>
      <c r="AB79" s="482" t="e">
        <f ca="1">_xll.Get_Balance(AB74,"YTD","USD","Total","A","","001",$A$74,"GD","WA","DL")</f>
        <v>#NAME?</v>
      </c>
      <c r="AC79" s="482" t="e">
        <f ca="1">_xll.Get_Balance(AC74,"YTD","USD","Total","A","","001",$A$74,"GD","WA","DL")</f>
        <v>#NAME?</v>
      </c>
      <c r="AD79" s="482" t="e">
        <f ca="1">_xll.Get_Balance(AD74,"YTD","USD","Total","A","","001",$A$74,"GD","WA","DL")</f>
        <v>#NAME?</v>
      </c>
      <c r="AE79" s="482" t="e">
        <f ca="1">_xll.Get_Balance(AE74,"YTD","USD","Total","A","","001",$A$74,"GD","WA","DL")</f>
        <v>#NAME?</v>
      </c>
      <c r="AF79" s="482" t="e">
        <f ca="1">_xll.Get_Balance(AF74,"YTD","USD","Total","A","","001",$A$74,"GD","WA","DL")</f>
        <v>#NAME?</v>
      </c>
    </row>
    <row r="80" spans="1:39">
      <c r="B80" s="481" t="s">
        <v>245</v>
      </c>
      <c r="E80" s="482" t="e">
        <f t="shared" ref="E80:H80" ca="1" si="47">E78-E79</f>
        <v>#NAME?</v>
      </c>
      <c r="F80" s="482" t="e">
        <f t="shared" ca="1" si="47"/>
        <v>#NAME?</v>
      </c>
      <c r="G80" s="482" t="e">
        <f t="shared" ca="1" si="47"/>
        <v>#NAME?</v>
      </c>
      <c r="H80" s="482" t="e">
        <f t="shared" ca="1" si="47"/>
        <v>#NAME?</v>
      </c>
      <c r="I80" s="482">
        <v>-1.6300000024784822E-3</v>
      </c>
      <c r="J80" s="482">
        <v>2.2599999938393012E-3</v>
      </c>
      <c r="K80" s="482">
        <v>2.7099999933852814E-3</v>
      </c>
      <c r="L80" s="482">
        <v>7.6399999961722642E-3</v>
      </c>
      <c r="M80" s="482">
        <v>4.8499999975319952E-3</v>
      </c>
      <c r="N80" s="482">
        <v>3.9899999974295497E-3</v>
      </c>
      <c r="O80" s="482">
        <v>4.0999999328050762E-4</v>
      </c>
      <c r="P80" s="482">
        <v>3.8499999936902896E-3</v>
      </c>
      <c r="Q80" s="482">
        <v>6.1099999875295907E-3</v>
      </c>
      <c r="R80" s="482">
        <v>7.5699999870266765E-3</v>
      </c>
      <c r="S80" s="482">
        <v>4.3599999844445847E-3</v>
      </c>
      <c r="T80" s="482">
        <v>4.3599999917205423E-3</v>
      </c>
      <c r="U80" s="482">
        <v>8.7499999863211997E-3</v>
      </c>
      <c r="V80" s="482" t="e">
        <f t="shared" ref="V80:AF80" ca="1" si="48">V78-V79</f>
        <v>#NAME?</v>
      </c>
      <c r="W80" s="482" t="e">
        <f t="shared" ca="1" si="48"/>
        <v>#NAME?</v>
      </c>
      <c r="X80" s="482" t="e">
        <f t="shared" ca="1" si="48"/>
        <v>#NAME?</v>
      </c>
      <c r="Y80" s="482" t="e">
        <f t="shared" ca="1" si="48"/>
        <v>#NAME?</v>
      </c>
      <c r="Z80" s="482" t="e">
        <f t="shared" ca="1" si="48"/>
        <v>#NAME?</v>
      </c>
      <c r="AA80" s="482" t="e">
        <f t="shared" ca="1" si="48"/>
        <v>#NAME?</v>
      </c>
      <c r="AB80" s="482" t="e">
        <f t="shared" ca="1" si="48"/>
        <v>#NAME?</v>
      </c>
      <c r="AC80" s="482" t="e">
        <f t="shared" ca="1" si="48"/>
        <v>#NAME?</v>
      </c>
      <c r="AD80" s="482" t="e">
        <f t="shared" ca="1" si="48"/>
        <v>#NAME?</v>
      </c>
      <c r="AE80" s="482" t="e">
        <f t="shared" ca="1" si="48"/>
        <v>#NAME?</v>
      </c>
      <c r="AF80" s="482" t="e">
        <f t="shared" ca="1" si="48"/>
        <v>#NAME?</v>
      </c>
    </row>
  </sheetData>
  <conditionalFormatting sqref="E28 K28:AG28 L62:AG62">
    <cfRule type="cellIs" dxfId="439" priority="23" operator="notEqual">
      <formula>E27</formula>
    </cfRule>
  </conditionalFormatting>
  <conditionalFormatting sqref="F28">
    <cfRule type="cellIs" dxfId="438" priority="22" operator="notEqual">
      <formula>F27</formula>
    </cfRule>
  </conditionalFormatting>
  <conditionalFormatting sqref="G28">
    <cfRule type="cellIs" dxfId="437" priority="21" operator="notEqual">
      <formula>G27</formula>
    </cfRule>
  </conditionalFormatting>
  <conditionalFormatting sqref="H28">
    <cfRule type="cellIs" dxfId="436" priority="20" operator="notEqual">
      <formula>H27</formula>
    </cfRule>
  </conditionalFormatting>
  <conditionalFormatting sqref="G62">
    <cfRule type="cellIs" dxfId="435" priority="19" operator="notEqual">
      <formula>G61</formula>
    </cfRule>
  </conditionalFormatting>
  <conditionalFormatting sqref="H62">
    <cfRule type="cellIs" dxfId="434" priority="18" operator="notEqual">
      <formula>H61</formula>
    </cfRule>
  </conditionalFormatting>
  <conditionalFormatting sqref="E62">
    <cfRule type="cellIs" dxfId="433" priority="17" operator="notEqual">
      <formula>E61</formula>
    </cfRule>
  </conditionalFormatting>
  <conditionalFormatting sqref="F62">
    <cfRule type="cellIs" dxfId="432" priority="16" operator="notEqual">
      <formula>F61</formula>
    </cfRule>
  </conditionalFormatting>
  <conditionalFormatting sqref="AM76 AM45 AM11">
    <cfRule type="cellIs" dxfId="431" priority="15" operator="notEqual">
      <formula>0</formula>
    </cfRule>
  </conditionalFormatting>
  <conditionalFormatting sqref="D62">
    <cfRule type="cellIs" dxfId="430" priority="14" operator="notEqual">
      <formula>D61</formula>
    </cfRule>
  </conditionalFormatting>
  <conditionalFormatting sqref="C62">
    <cfRule type="cellIs" dxfId="429" priority="13" operator="notEqual">
      <formula>C61</formula>
    </cfRule>
  </conditionalFormatting>
  <conditionalFormatting sqref="D28">
    <cfRule type="cellIs" dxfId="428" priority="12" operator="notEqual">
      <formula>D27</formula>
    </cfRule>
  </conditionalFormatting>
  <conditionalFormatting sqref="C28">
    <cfRule type="cellIs" dxfId="427" priority="11" operator="notEqual">
      <formula>C27</formula>
    </cfRule>
  </conditionalFormatting>
  <conditionalFormatting sqref="I28">
    <cfRule type="cellIs" dxfId="426" priority="10" operator="notEqual">
      <formula>I27</formula>
    </cfRule>
  </conditionalFormatting>
  <conditionalFormatting sqref="I62">
    <cfRule type="cellIs" dxfId="425" priority="9" operator="notEqual">
      <formula>I61</formula>
    </cfRule>
  </conditionalFormatting>
  <conditionalFormatting sqref="J28">
    <cfRule type="cellIs" dxfId="424" priority="8" operator="notEqual">
      <formula>J27</formula>
    </cfRule>
  </conditionalFormatting>
  <conditionalFormatting sqref="J62">
    <cfRule type="cellIs" dxfId="423" priority="7" operator="notEqual">
      <formula>J61</formula>
    </cfRule>
  </conditionalFormatting>
  <conditionalFormatting sqref="K62">
    <cfRule type="cellIs" dxfId="422" priority="6" operator="notEqual">
      <formula>K61</formula>
    </cfRule>
  </conditionalFormatting>
  <conditionalFormatting sqref="U28">
    <cfRule type="cellIs" dxfId="421" priority="5" operator="notEqual">
      <formula>U27</formula>
    </cfRule>
  </conditionalFormatting>
  <conditionalFormatting sqref="U62">
    <cfRule type="cellIs" dxfId="420" priority="4" operator="notEqual">
      <formula>U61</formula>
    </cfRule>
  </conditionalFormatting>
  <conditionalFormatting sqref="V28">
    <cfRule type="cellIs" dxfId="419" priority="3" operator="notEqual">
      <formula>V27</formula>
    </cfRule>
  </conditionalFormatting>
  <conditionalFormatting sqref="V62">
    <cfRule type="cellIs" dxfId="418" priority="2" operator="notEqual">
      <formula>V61</formula>
    </cfRule>
  </conditionalFormatting>
  <conditionalFormatting sqref="W62">
    <cfRule type="cellIs" dxfId="417" priority="1" operator="notEqual">
      <formula>W61</formula>
    </cfRule>
  </conditionalFormatting>
  <pageMargins left="0" right="0" top="0.75" bottom="0.75" header="0.3" footer="0.3"/>
  <pageSetup scale="43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>
    <tabColor theme="4" tint="0.59999389629810485"/>
    <pageSetUpPr fitToPage="1"/>
  </sheetPr>
  <dimension ref="A1:AO93"/>
  <sheetViews>
    <sheetView topLeftCell="S1" zoomScale="89" zoomScaleNormal="89" zoomScaleSheetLayoutView="85" workbookViewId="0">
      <selection activeCell="Z51" sqref="Z51"/>
    </sheetView>
  </sheetViews>
  <sheetFormatPr defaultColWidth="9.09765625" defaultRowHeight="15.5"/>
  <cols>
    <col min="1" max="1" width="16.69921875" style="482" customWidth="1"/>
    <col min="2" max="2" width="25.296875" style="481" bestFit="1" customWidth="1"/>
    <col min="3" max="3" width="16.296875" style="482" bestFit="1" customWidth="1"/>
    <col min="4" max="4" width="16.09765625" style="482" customWidth="1"/>
    <col min="5" max="6" width="16.3984375" style="482" hidden="1" customWidth="1"/>
    <col min="7" max="7" width="16.296875" style="482" hidden="1" customWidth="1"/>
    <col min="8" max="9" width="18.3984375" style="482" hidden="1" customWidth="1"/>
    <col min="10" max="12" width="16.296875" style="482" hidden="1" customWidth="1"/>
    <col min="13" max="13" width="16.8984375" style="482" hidden="1" customWidth="1"/>
    <col min="14" max="18" width="16.296875" style="482" hidden="1" customWidth="1"/>
    <col min="19" max="20" width="16.296875" style="482" customWidth="1"/>
    <col min="21" max="21" width="18.3984375" style="482" customWidth="1"/>
    <col min="22" max="23" width="16.296875" style="482" customWidth="1"/>
    <col min="24" max="24" width="16.69921875" style="482" customWidth="1"/>
    <col min="25" max="25" width="16.8984375" style="482" customWidth="1"/>
    <col min="26" max="26" width="16.296875" style="482" customWidth="1"/>
    <col min="27" max="32" width="16.296875" style="482" hidden="1" customWidth="1"/>
    <col min="33" max="33" width="1.59765625" style="482" customWidth="1"/>
    <col min="34" max="34" width="36.296875" style="482" bestFit="1" customWidth="1"/>
    <col min="35" max="35" width="15.59765625" style="525" bestFit="1" customWidth="1"/>
    <col min="36" max="36" width="4.69921875" style="482" bestFit="1" customWidth="1"/>
    <col min="37" max="37" width="3.3984375" style="482" bestFit="1" customWidth="1"/>
    <col min="38" max="39" width="17.09765625" style="482" bestFit="1" customWidth="1"/>
    <col min="40" max="40" width="0.59765625" style="482" customWidth="1"/>
    <col min="41" max="16384" width="9.09765625" style="482"/>
  </cols>
  <sheetData>
    <row r="1" spans="1:39">
      <c r="A1" s="480" t="s">
        <v>265</v>
      </c>
      <c r="AH1" s="480" t="s">
        <v>315</v>
      </c>
    </row>
    <row r="2" spans="1:39">
      <c r="A2" s="483" t="s">
        <v>267</v>
      </c>
    </row>
    <row r="3" spans="1:39" s="483" customFormat="1" ht="31.5" thickBot="1">
      <c r="A3" s="484">
        <v>191010</v>
      </c>
      <c r="B3" s="485" t="s">
        <v>256</v>
      </c>
      <c r="C3" s="486" t="s">
        <v>251</v>
      </c>
      <c r="D3" s="685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I3" s="484"/>
    </row>
    <row r="4" spans="1:39" s="483" customFormat="1" ht="16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H4" s="544">
        <v>201506</v>
      </c>
      <c r="AI4" s="526"/>
      <c r="AJ4" s="514"/>
      <c r="AK4" s="514"/>
      <c r="AL4" s="514"/>
      <c r="AM4" s="515"/>
    </row>
    <row r="5" spans="1:39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f>T13</f>
        <v>-411904.7279799963</v>
      </c>
      <c r="V5" s="482">
        <f>U13</f>
        <v>-645308.82581999747</v>
      </c>
      <c r="W5" s="482">
        <f t="shared" ref="W5:AF5" si="1">V13</f>
        <v>-851213.3205709972</v>
      </c>
      <c r="X5" s="482">
        <f t="shared" si="1"/>
        <v>-383853.68833599566</v>
      </c>
      <c r="Y5" s="482">
        <f t="shared" si="1"/>
        <v>-1320748.2898439963</v>
      </c>
      <c r="Z5" s="482">
        <f t="shared" si="1"/>
        <v>-1486769.1493459961</v>
      </c>
      <c r="AA5" s="482">
        <f t="shared" si="1"/>
        <v>-1775279.9458759972</v>
      </c>
      <c r="AB5" s="482">
        <f t="shared" si="1"/>
        <v>-2119120.6388879968</v>
      </c>
      <c r="AC5" s="482">
        <f t="shared" si="1"/>
        <v>-2515662.2971379957</v>
      </c>
      <c r="AD5" s="482">
        <f t="shared" si="1"/>
        <v>-3163911.9401459969</v>
      </c>
      <c r="AE5" s="482">
        <f t="shared" si="1"/>
        <v>-3819344.4755009972</v>
      </c>
      <c r="AF5" s="482">
        <f t="shared" si="1"/>
        <v>-4461427.0393109964</v>
      </c>
      <c r="AH5" s="497" t="s">
        <v>304</v>
      </c>
      <c r="AI5" s="527">
        <v>419600</v>
      </c>
      <c r="AJ5" s="498" t="s">
        <v>288</v>
      </c>
      <c r="AK5" s="498" t="s">
        <v>291</v>
      </c>
      <c r="AL5" s="519">
        <v>0</v>
      </c>
      <c r="AM5" s="520">
        <f>IF(SUMIF(U3:AF3,AH4,U8:AF8)&gt;0,SUMIF(U3:AF3,AH4,U8:AF8),0)</f>
        <v>0</v>
      </c>
    </row>
    <row r="6" spans="1:39">
      <c r="B6" s="481" t="s">
        <v>254</v>
      </c>
      <c r="C6" s="482">
        <f>SUM(U6:AF6)</f>
        <v>-5056717.7079139985</v>
      </c>
      <c r="D6" s="482">
        <f>-1369125.49+SUM(E6:N6,E9:T9)</f>
        <v>-2.14532227255404E-3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f>Jan!$J$53</f>
        <v>331968.15844599903</v>
      </c>
      <c r="V6" s="482">
        <f>Feb!$J$53</f>
        <v>0</v>
      </c>
      <c r="W6" s="482">
        <f>Mar!$J$53</f>
        <v>547802.71264300169</v>
      </c>
      <c r="X6" s="482">
        <f>Apr!$J$53</f>
        <v>-1029654.8148680007</v>
      </c>
      <c r="Y6" s="482">
        <f>May!$J$53</f>
        <v>-494908.28808599967</v>
      </c>
      <c r="Z6" s="482">
        <f>Jun!$J$53</f>
        <v>-803843.28933000052</v>
      </c>
      <c r="AA6" s="482">
        <f>Jul!$J$53</f>
        <v>-778841.02357199905</v>
      </c>
      <c r="AB6" s="482">
        <f>Aug!$J$53</f>
        <v>-816009.11660199915</v>
      </c>
      <c r="AC6" s="482">
        <f>Sep!$J$53</f>
        <v>-995450.54456800083</v>
      </c>
      <c r="AD6" s="482">
        <f>Oct!$J$55</f>
        <v>-911936.74747700011</v>
      </c>
      <c r="AE6" s="482">
        <f>Nov!$J$55</f>
        <v>-105844.75449999981</v>
      </c>
      <c r="AF6" s="482">
        <f>Dec!$J$53</f>
        <v>0</v>
      </c>
      <c r="AH6" s="499" t="s">
        <v>305</v>
      </c>
      <c r="AI6" s="528">
        <v>431600</v>
      </c>
      <c r="AJ6" s="358" t="s">
        <v>288</v>
      </c>
      <c r="AK6" s="358" t="s">
        <v>291</v>
      </c>
      <c r="AL6" s="381">
        <f>IF(SUMIF(U3:AF3,AH4,U8:AF8)&lt;0,-SUMIF(U3:AF3,AH4,U8:AF8),0)</f>
        <v>1358.62</v>
      </c>
      <c r="AM6" s="500">
        <v>0</v>
      </c>
    </row>
    <row r="7" spans="1:39">
      <c r="B7" s="481" t="s">
        <v>255</v>
      </c>
      <c r="C7" s="482">
        <f t="shared" ref="C7:C11" si="2">SUM(U7:AF7)</f>
        <v>954206.43658299907</v>
      </c>
      <c r="D7" s="482">
        <f>1867859.17+SUM(E7:N7,E10:T10)</f>
        <v>-1.7596203833818436E-3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f>Jan!$K$53</f>
        <v>-634725.57628600008</v>
      </c>
      <c r="V7" s="482">
        <f>Feb!$K$53</f>
        <v>-205263.17475099966</v>
      </c>
      <c r="W7" s="482">
        <f>Mar!$K$53</f>
        <v>-80067.220408000168</v>
      </c>
      <c r="X7" s="482">
        <f>Apr!$K$53</f>
        <v>93304.253359999973</v>
      </c>
      <c r="Y7" s="482">
        <f>May!$K$53</f>
        <v>330056.73858399986</v>
      </c>
      <c r="Z7" s="482">
        <f>Jun!$K$53</f>
        <v>516691.11279999983</v>
      </c>
      <c r="AA7" s="482">
        <f>Jul!$K$53</f>
        <v>436622.32056000002</v>
      </c>
      <c r="AB7" s="482">
        <f>Aug!$K$53</f>
        <v>421397.81835199991</v>
      </c>
      <c r="AC7" s="482">
        <f>Sep!$K$53</f>
        <v>349566.40155999974</v>
      </c>
      <c r="AD7" s="482">
        <f>Oct!$K$55</f>
        <v>259412.69212199986</v>
      </c>
      <c r="AE7" s="563">
        <f>Nov!$K$55</f>
        <v>-532788.92931000004</v>
      </c>
      <c r="AF7" s="482">
        <f>Dec!$K$53</f>
        <v>0</v>
      </c>
      <c r="AH7" s="499" t="s">
        <v>306</v>
      </c>
      <c r="AI7" s="528">
        <v>191010</v>
      </c>
      <c r="AJ7" s="358" t="s">
        <v>288</v>
      </c>
      <c r="AK7" s="358" t="s">
        <v>291</v>
      </c>
      <c r="AL7" s="381">
        <f>IF((SUMIF(U3:AF3,AH4,U6:AF6)+SUMIF(U3:AF3,AH4,U7:AF7)+SUMIF(U3:AF3,AH4,U8:AF8))&gt;0,(SUMIF(U3:AF3,AH4,U6:AF6)+SUMIF(U3:AF3,AH4,U7:AF7)+SUMIF(U3:AF3,AH4,U8:AF8)),0)</f>
        <v>0</v>
      </c>
      <c r="AM7" s="500">
        <f>IF((SUMIF(U3:AF3,AH4,U6:AF6)+SUMIF(U3:AF3,AH4,U7:AF7)+SUMIF(U3:AF3,AH4,U8:AF8))&lt;0,-(SUMIF(U3:AF3,AH4,U6:AF6)+SUMIF(U3:AF3,AH4,U7:AF7)++SUMIF(U3:AF3,AH4,U8:AF8)),0)</f>
        <v>288510.79653000069</v>
      </c>
    </row>
    <row r="8" spans="1:39">
      <c r="B8" s="481" t="s">
        <v>258</v>
      </c>
      <c r="C8" s="482">
        <f t="shared" si="2"/>
        <v>-20775.64</v>
      </c>
      <c r="D8" s="482">
        <f>-7356.73+SUM(E8:N8,E11:T11)</f>
        <v>0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f>ROUND(((X5+X12)*(X4/12))+((SUM(X6:X7)/2)*(X4/12)),2)</f>
        <v>-709.89</v>
      </c>
      <c r="Y8" s="489">
        <f t="shared" ref="Y8:AC8" si="3">ROUND(((Y5+Y9+Y10+Y11)*(Y4/12))+((SUM(Y6:Y7)/2)*(Y4/12)),2)</f>
        <v>-1169.31</v>
      </c>
      <c r="Z8" s="489">
        <f t="shared" si="3"/>
        <v>-1358.62</v>
      </c>
      <c r="AA8" s="489">
        <f t="shared" si="3"/>
        <v>-1621.99</v>
      </c>
      <c r="AB8" s="489">
        <f t="shared" si="3"/>
        <v>-1930.36</v>
      </c>
      <c r="AC8" s="489">
        <f t="shared" si="3"/>
        <v>-2365.5</v>
      </c>
      <c r="AD8" s="489">
        <f>ROUND(((AD5+AD9+AD10+AD11)*(AD4/12))+((SUM(AD6:AD7)/2)*(AD4/12)),2)</f>
        <v>-2908.48</v>
      </c>
      <c r="AE8" s="482">
        <f>ROUND(((AE5+AE9+AE10+AE11)*(AE4/12))+((SUM(AE6:AE7)/2)*(AE4/12)),2)</f>
        <v>-3448.88</v>
      </c>
      <c r="AF8" s="489">
        <f>ROUND(((AF5+AF9+AF10+AF11)*(AF4/12))+((SUM(AF6:AF7)/2)*(AF4/12)),2)</f>
        <v>-3717.86</v>
      </c>
      <c r="AH8" s="499" t="s">
        <v>307</v>
      </c>
      <c r="AI8" s="528">
        <v>805120</v>
      </c>
      <c r="AJ8" s="358" t="s">
        <v>288</v>
      </c>
      <c r="AK8" s="358" t="s">
        <v>291</v>
      </c>
      <c r="AL8" s="381">
        <f>IF((SUMIF(U3:AF3,AH4,U6:AF6)+SUMIF(U3:AF3,AH4,U7:AF7))&lt;0,-(SUMIF(U3:AF3,AH4,U6:AF6)+SUMIF(U3:AF3,AH4,U7:AF7)),0)</f>
        <v>287152.1765300007</v>
      </c>
      <c r="AM8" s="500">
        <f>IF((SUMIF(U3:AF3,AH4,U6:AF6)+SUMIF(U3:AF3,AH4,U7:AF7))&gt;0,(SUMIF(U3:AF3,AH4,U6:AF6)+SUMIF(U3:AF3,AH4,U7:AF7)),0)</f>
        <v>0</v>
      </c>
    </row>
    <row r="9" spans="1:39">
      <c r="B9" s="481" t="s">
        <v>262</v>
      </c>
      <c r="C9" s="482">
        <f t="shared" si="2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F9" s="482">
        <v>0</v>
      </c>
      <c r="AH9" s="499" t="s">
        <v>11</v>
      </c>
      <c r="AI9" s="528">
        <v>191010</v>
      </c>
      <c r="AJ9" s="358" t="s">
        <v>288</v>
      </c>
      <c r="AK9" s="358" t="s">
        <v>291</v>
      </c>
      <c r="AL9" s="381">
        <v>0</v>
      </c>
      <c r="AM9" s="500">
        <v>0</v>
      </c>
    </row>
    <row r="10" spans="1:39" ht="16" thickBot="1">
      <c r="B10" s="481" t="s">
        <v>263</v>
      </c>
      <c r="C10" s="482">
        <f t="shared" si="2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F10" s="482">
        <v>0</v>
      </c>
      <c r="AH10" s="501" t="str">
        <f>AH9</f>
        <v>Tracker Transfer</v>
      </c>
      <c r="AI10" s="529">
        <f>AI44</f>
        <v>191000</v>
      </c>
      <c r="AJ10" s="529" t="str">
        <f>AJ44</f>
        <v>GD</v>
      </c>
      <c r="AK10" s="529" t="str">
        <f>AK44</f>
        <v>ID</v>
      </c>
      <c r="AL10" s="503">
        <v>0</v>
      </c>
      <c r="AM10" s="521">
        <f>AL9</f>
        <v>0</v>
      </c>
    </row>
    <row r="11" spans="1:39" ht="16" thickBot="1">
      <c r="B11" s="481" t="s">
        <v>264</v>
      </c>
      <c r="C11" s="482">
        <f t="shared" si="2"/>
        <v>-49.16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F11" s="482">
        <v>0</v>
      </c>
      <c r="AH11" s="516"/>
      <c r="AI11" s="530"/>
      <c r="AJ11" s="517"/>
      <c r="AK11" s="517"/>
      <c r="AL11" s="517" t="s">
        <v>159</v>
      </c>
      <c r="AM11" s="518">
        <f>SUM(AL5:AL10)-SUM(AM5:AM10)</f>
        <v>0</v>
      </c>
    </row>
    <row r="12" spans="1:39">
      <c r="B12" s="481" t="s">
        <v>148</v>
      </c>
      <c r="C12" s="482">
        <f>SUM(U12:AF12)</f>
        <v>70095.900000000009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</row>
    <row r="13" spans="1:39" ht="16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4">SUM(F5:F12)</f>
        <v>-179650.44284699953</v>
      </c>
      <c r="G13" s="541">
        <f t="shared" si="4"/>
        <v>-770749.33284699952</v>
      </c>
      <c r="H13" s="541">
        <f t="shared" si="4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F13" si="5">SUM(U5:U12)</f>
        <v>-645308.82581999747</v>
      </c>
      <c r="V13" s="541">
        <f t="shared" si="5"/>
        <v>-851213.3205709972</v>
      </c>
      <c r="W13" s="541">
        <f t="shared" si="5"/>
        <v>-383853.68833599566</v>
      </c>
      <c r="X13" s="541">
        <f t="shared" si="5"/>
        <v>-1320748.2898439963</v>
      </c>
      <c r="Y13" s="541">
        <f t="shared" si="5"/>
        <v>-1486769.1493459961</v>
      </c>
      <c r="Z13" s="541">
        <f t="shared" si="5"/>
        <v>-1775279.9458759972</v>
      </c>
      <c r="AA13" s="541">
        <f t="shared" si="5"/>
        <v>-2119120.6388879968</v>
      </c>
      <c r="AB13" s="541">
        <f t="shared" si="5"/>
        <v>-2515662.2971379957</v>
      </c>
      <c r="AC13" s="541">
        <f t="shared" si="5"/>
        <v>-3163911.9401459969</v>
      </c>
      <c r="AD13" s="541">
        <f t="shared" si="5"/>
        <v>-3819344.4755009972</v>
      </c>
      <c r="AE13" s="541">
        <f t="shared" si="5"/>
        <v>-4461427.0393109964</v>
      </c>
      <c r="AF13" s="541">
        <f t="shared" si="5"/>
        <v>-4465144.8993109968</v>
      </c>
    </row>
    <row r="14" spans="1:39" ht="16" thickTop="1">
      <c r="B14" s="481" t="s">
        <v>260</v>
      </c>
      <c r="E14" s="482" t="e">
        <f ca="1">_xll.Get_Balance(E3,"YTD","USD","Total","A","","001",$A$3,"GD","ID","DL")</f>
        <v>#NAME?</v>
      </c>
      <c r="F14" s="482" t="e">
        <f ca="1">_xll.Get_Balance(F3,"YTD","USD","Total","A","","001",$A$3,"GD","ID","DL")</f>
        <v>#NAME?</v>
      </c>
      <c r="G14" s="482" t="e">
        <f ca="1">_xll.Get_Balance(G3,"YTD","USD","Total","A","","001",$A$3,"GD","ID","DL")</f>
        <v>#NAME?</v>
      </c>
      <c r="H14" s="482" t="e">
        <f ca="1">_xll.Get_Balance(H3,"YTD","USD","Total","A","","001",$A$3,"GD","ID","DL")</f>
        <v>#NAME?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 t="e">
        <f ca="1">_xll.Get_Balance(S3,"YTD","USD","Total","A","","001",$A$3,"GD","ID","DL")</f>
        <v>#NAME?</v>
      </c>
      <c r="T14" s="482" t="e">
        <f ca="1">_xll.Get_Balance(T3,"YTD","USD","Total","A","","001",$A$3,"GD","ID","DL")</f>
        <v>#NAME?</v>
      </c>
      <c r="U14" s="482" t="e">
        <f ca="1">_xll.Get_Balance(U3,"YTD","USD","Total","A","","001",$A$3,"GD","ID","DL")</f>
        <v>#NAME?</v>
      </c>
      <c r="V14" s="482" t="e">
        <f ca="1">_xll.Get_Balance(V3,"YTD","USD","Total","A","","001",$A$3,"GD","ID","DL")</f>
        <v>#NAME?</v>
      </c>
      <c r="W14" s="482" t="e">
        <f ca="1">_xll.Get_Balance(W3,"YTD","USD","Total","A","","001",$A$3,"GD","ID","DL")</f>
        <v>#NAME?</v>
      </c>
      <c r="X14" s="482" t="e">
        <f ca="1">_xll.Get_Balance(X3,"YTD","USD","Total","A","","001",$A$3,"GD","ID","DL")</f>
        <v>#NAME?</v>
      </c>
      <c r="Y14" s="482" t="e">
        <f ca="1">_xll.Get_Balance(Y3,"YTD","USD","Total","A","","001",$A$3,"GD","ID","DL")</f>
        <v>#NAME?</v>
      </c>
      <c r="Z14" s="482" t="e">
        <f ca="1">_xll.Get_Balance(Z3,"YTD","USD","Total","A","","001",$A$3,"GD","ID","DL")</f>
        <v>#NAME?</v>
      </c>
      <c r="AA14" s="482" t="e">
        <f ca="1">_xll.Get_Balance(AA3,"YTD","USD","Total","A","","001",$A$3,"GD","ID","DL")</f>
        <v>#NAME?</v>
      </c>
      <c r="AB14" s="482" t="e">
        <f ca="1">_xll.Get_Balance(AB3,"YTD","USD","Total","A","","001",$A$3,"GD","ID","DL")</f>
        <v>#NAME?</v>
      </c>
      <c r="AC14" s="482" t="e">
        <f ca="1">_xll.Get_Balance(AC3,"YTD","USD","Total","A","","001",$A$3,"GD","ID","DL")</f>
        <v>#NAME?</v>
      </c>
      <c r="AD14" s="482" t="e">
        <f ca="1">_xll.Get_Balance(AD3,"YTD","USD","Total","A","","001",$A$3,"GD","ID","DL")</f>
        <v>#NAME?</v>
      </c>
      <c r="AE14" s="482" t="e">
        <f ca="1">_xll.Get_Balance(AE3,"YTD","USD","Total","A","","001",$A$3,"GD","ID","DL")</f>
        <v>#NAME?</v>
      </c>
      <c r="AF14" s="482" t="e">
        <f ca="1">_xll.Get_Balance(AF3,"YTD","USD","Total","A","","001",$A$3,"GD","ID","DL")</f>
        <v>#NAME?</v>
      </c>
    </row>
    <row r="15" spans="1:39">
      <c r="B15" s="481" t="s">
        <v>245</v>
      </c>
      <c r="E15" s="482" t="e">
        <f t="shared" ref="E15:H15" ca="1" si="6">E13-E14</f>
        <v>#NAME?</v>
      </c>
      <c r="F15" s="482" t="e">
        <f t="shared" ca="1" si="6"/>
        <v>#NAME?</v>
      </c>
      <c r="G15" s="482" t="e">
        <f t="shared" ca="1" si="6"/>
        <v>#NAME?</v>
      </c>
      <c r="H15" s="482" t="e">
        <f t="shared" ca="1" si="6"/>
        <v>#NAME?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 t="e">
        <f t="shared" ref="S15:T15" ca="1" si="7">S13-S14</f>
        <v>#NAME?</v>
      </c>
      <c r="T15" s="482" t="e">
        <f t="shared" ca="1" si="7"/>
        <v>#NAME?</v>
      </c>
      <c r="U15" s="482" t="e">
        <f ca="1">U13-U14</f>
        <v>#NAME?</v>
      </c>
      <c r="V15" s="482" t="e">
        <f ca="1">V13-V14</f>
        <v>#NAME?</v>
      </c>
      <c r="W15" s="482" t="e">
        <f t="shared" ref="W15:AF15" ca="1" si="8">W13-W14</f>
        <v>#NAME?</v>
      </c>
      <c r="X15" s="482" t="e">
        <f t="shared" ca="1" si="8"/>
        <v>#NAME?</v>
      </c>
      <c r="Y15" s="482" t="e">
        <f t="shared" ca="1" si="8"/>
        <v>#NAME?</v>
      </c>
      <c r="Z15" s="482" t="e">
        <f t="shared" ca="1" si="8"/>
        <v>#NAME?</v>
      </c>
      <c r="AA15" s="482" t="e">
        <f t="shared" ca="1" si="8"/>
        <v>#NAME?</v>
      </c>
      <c r="AB15" s="482" t="e">
        <f t="shared" ca="1" si="8"/>
        <v>#NAME?</v>
      </c>
      <c r="AC15" s="482" t="e">
        <f t="shared" ca="1" si="8"/>
        <v>#NAME?</v>
      </c>
      <c r="AD15" s="482" t="e">
        <f t="shared" ca="1" si="8"/>
        <v>#NAME?</v>
      </c>
      <c r="AE15" s="482" t="e">
        <f t="shared" ca="1" si="8"/>
        <v>#NAME?</v>
      </c>
      <c r="AF15" s="482" t="e">
        <f t="shared" ca="1" si="8"/>
        <v>#NAME?</v>
      </c>
    </row>
    <row r="16" spans="1:39">
      <c r="A16" s="483" t="s">
        <v>271</v>
      </c>
      <c r="U16" s="482" t="s">
        <v>330</v>
      </c>
    </row>
    <row r="17" spans="1:39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I17" s="558"/>
      <c r="AL17" s="482">
        <v>0</v>
      </c>
    </row>
    <row r="18" spans="1:39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9">U18+1</f>
        <v>201502</v>
      </c>
      <c r="W18" s="484">
        <f t="shared" si="9"/>
        <v>201503</v>
      </c>
      <c r="X18" s="484">
        <f t="shared" si="9"/>
        <v>201504</v>
      </c>
      <c r="Y18" s="484">
        <f t="shared" si="9"/>
        <v>201505</v>
      </c>
      <c r="Z18" s="484">
        <f t="shared" si="9"/>
        <v>201506</v>
      </c>
      <c r="AA18" s="484">
        <f t="shared" si="9"/>
        <v>201507</v>
      </c>
      <c r="AB18" s="484">
        <f t="shared" si="9"/>
        <v>201508</v>
      </c>
      <c r="AC18" s="484">
        <f t="shared" si="9"/>
        <v>201509</v>
      </c>
      <c r="AD18" s="484">
        <f t="shared" si="9"/>
        <v>201510</v>
      </c>
      <c r="AE18" s="484">
        <f t="shared" si="9"/>
        <v>201511</v>
      </c>
      <c r="AF18" s="484">
        <f t="shared" si="9"/>
        <v>201512</v>
      </c>
      <c r="AI18" s="558"/>
    </row>
    <row r="19" spans="1:39">
      <c r="A19" s="483"/>
      <c r="B19" s="481" t="s">
        <v>37</v>
      </c>
      <c r="C19" s="491">
        <f>SUM(U19:AF19)</f>
        <v>39097164</v>
      </c>
      <c r="D19" s="491">
        <f>SUM(F19:Q19)</f>
        <v>56675951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f>Jan!$K36</f>
        <v>8991869</v>
      </c>
      <c r="V19" s="491">
        <f>Feb!$K36</f>
        <v>5607449</v>
      </c>
      <c r="W19" s="491">
        <f>Mar!$K36</f>
        <v>5090227</v>
      </c>
      <c r="X19" s="491">
        <f>Apr!$K36</f>
        <v>3621515</v>
      </c>
      <c r="Y19" s="491">
        <f>May!$K36</f>
        <v>1624041</v>
      </c>
      <c r="Z19" s="491">
        <f>Jun!$K36</f>
        <v>985347</v>
      </c>
      <c r="AA19" s="491">
        <f>Jul!$K36</f>
        <v>990038</v>
      </c>
      <c r="AB19" s="491">
        <f>Aug!$K36</f>
        <v>930531</v>
      </c>
      <c r="AC19" s="491">
        <f>Sep!$K36</f>
        <v>1531464</v>
      </c>
      <c r="AD19" s="491">
        <f>Oct!$K36</f>
        <v>2476612</v>
      </c>
      <c r="AE19" s="491">
        <f>Nov!$K36</f>
        <v>7248071</v>
      </c>
      <c r="AF19" s="491">
        <f>Dec!$K36</f>
        <v>0</v>
      </c>
      <c r="AG19" s="491"/>
    </row>
    <row r="20" spans="1:39">
      <c r="A20" s="483"/>
      <c r="B20" s="481" t="s">
        <v>38</v>
      </c>
      <c r="C20" s="491">
        <f t="shared" ref="C20:C24" si="10">SUM(U20:AF20)</f>
        <v>18037646</v>
      </c>
      <c r="D20" s="491">
        <f>SUM(F20:Q20)</f>
        <v>22466066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f>Jan!$K37</f>
        <v>2818068</v>
      </c>
      <c r="V20" s="491">
        <f>Feb!$K37</f>
        <v>2333245</v>
      </c>
      <c r="W20" s="491">
        <f>Mar!$K37</f>
        <v>1927746</v>
      </c>
      <c r="X20" s="491">
        <f>Apr!$K37</f>
        <v>1633221</v>
      </c>
      <c r="Y20" s="491">
        <f>May!$K37</f>
        <v>1075904</v>
      </c>
      <c r="Z20" s="491">
        <f>Jun!$K37</f>
        <v>1089173</v>
      </c>
      <c r="AA20" s="491">
        <f>Jul!$K37</f>
        <v>964252</v>
      </c>
      <c r="AB20" s="491">
        <f>Aug!$K37</f>
        <v>1322423</v>
      </c>
      <c r="AC20" s="491">
        <f>Sep!$K37</f>
        <v>1101192</v>
      </c>
      <c r="AD20" s="491">
        <f>Oct!$K37</f>
        <v>1392647</v>
      </c>
      <c r="AE20" s="491">
        <f>Nov!$K37</f>
        <v>2379775</v>
      </c>
      <c r="AF20" s="491">
        <f>Dec!$K37</f>
        <v>0</v>
      </c>
      <c r="AG20" s="491"/>
    </row>
    <row r="21" spans="1:39" hidden="1">
      <c r="A21" s="483"/>
      <c r="B21" s="481" t="s">
        <v>39</v>
      </c>
      <c r="C21" s="491">
        <f t="shared" si="10"/>
        <v>0</v>
      </c>
      <c r="D21" s="491">
        <f>SUM(G21:R21)</f>
        <v>0</v>
      </c>
      <c r="E21" s="491"/>
      <c r="F21" s="491"/>
      <c r="G21" s="491"/>
      <c r="H21" s="491"/>
    </row>
    <row r="22" spans="1:39" hidden="1">
      <c r="A22" s="483"/>
      <c r="B22" s="481" t="s">
        <v>40</v>
      </c>
      <c r="C22" s="491">
        <f t="shared" si="10"/>
        <v>0</v>
      </c>
      <c r="D22" s="491">
        <f>SUM(G22:R22)</f>
        <v>0</v>
      </c>
      <c r="E22" s="491"/>
      <c r="F22" s="491"/>
      <c r="G22" s="491"/>
      <c r="H22" s="491"/>
    </row>
    <row r="23" spans="1:39" hidden="1">
      <c r="A23" s="483"/>
      <c r="B23" s="481" t="s">
        <v>41</v>
      </c>
      <c r="C23" s="491">
        <f t="shared" si="10"/>
        <v>0</v>
      </c>
      <c r="D23" s="491">
        <f>SUM(G23:R23)</f>
        <v>0</v>
      </c>
      <c r="E23" s="491"/>
      <c r="F23" s="491"/>
      <c r="G23" s="491"/>
      <c r="H23" s="491"/>
    </row>
    <row r="24" spans="1:39">
      <c r="A24" s="483"/>
      <c r="B24" s="481" t="s">
        <v>42</v>
      </c>
      <c r="C24" s="491">
        <f t="shared" si="10"/>
        <v>0</v>
      </c>
      <c r="D24" s="491">
        <f>SUM(F24:Q24)</f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f>Jan!$K41</f>
        <v>0</v>
      </c>
      <c r="V24" s="491">
        <f>Feb!$K41</f>
        <v>0</v>
      </c>
      <c r="W24" s="491">
        <f>Mar!$K41</f>
        <v>0</v>
      </c>
      <c r="X24" s="491">
        <f>Apr!$K41</f>
        <v>0</v>
      </c>
      <c r="Y24" s="491">
        <f>May!$K41</f>
        <v>0</v>
      </c>
      <c r="Z24" s="491">
        <f>Jun!$K41</f>
        <v>0</v>
      </c>
      <c r="AA24" s="491">
        <f>Jul!$K41</f>
        <v>0</v>
      </c>
      <c r="AB24" s="491">
        <f>Aug!$K41</f>
        <v>0</v>
      </c>
      <c r="AC24" s="491">
        <f>Sep!$K41</f>
        <v>0</v>
      </c>
      <c r="AD24" s="491">
        <f>Oct!$K41</f>
        <v>0</v>
      </c>
      <c r="AE24" s="491">
        <f>Nov!$K41</f>
        <v>0</v>
      </c>
      <c r="AF24" s="491">
        <f>Dec!$K41</f>
        <v>0</v>
      </c>
      <c r="AG24" s="491"/>
    </row>
    <row r="25" spans="1:39" hidden="1">
      <c r="A25" s="483"/>
      <c r="B25" s="481" t="s">
        <v>43</v>
      </c>
      <c r="C25" s="491">
        <f t="shared" ref="C25:C26" si="11">SUM(I25:T25)</f>
        <v>0</v>
      </c>
      <c r="D25" s="491">
        <f>SUM(G25:R25)</f>
        <v>0</v>
      </c>
      <c r="E25" s="491"/>
      <c r="F25" s="491"/>
      <c r="G25" s="491"/>
      <c r="H25" s="491"/>
    </row>
    <row r="26" spans="1:39" hidden="1">
      <c r="A26" s="483"/>
      <c r="B26" s="481" t="s">
        <v>74</v>
      </c>
      <c r="C26" s="491">
        <f t="shared" si="11"/>
        <v>0</v>
      </c>
      <c r="D26" s="491">
        <f>SUM(G26:R26)</f>
        <v>0</v>
      </c>
      <c r="E26" s="491"/>
      <c r="F26" s="491"/>
      <c r="G26" s="491"/>
      <c r="H26" s="491"/>
    </row>
    <row r="27" spans="1:39" ht="16" thickBot="1">
      <c r="A27" s="483"/>
      <c r="B27" s="481" t="s">
        <v>21</v>
      </c>
      <c r="C27" s="542">
        <f>SUM(U27:AF27)</f>
        <v>57134810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2">SUM(G19:G26)</f>
        <v>9508099</v>
      </c>
      <c r="H27" s="542">
        <f t="shared" si="12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F27" si="13">SUM(U19:U26)</f>
        <v>11809937</v>
      </c>
      <c r="V27" s="542">
        <f t="shared" si="13"/>
        <v>7940694</v>
      </c>
      <c r="W27" s="542">
        <f t="shared" si="13"/>
        <v>7017973</v>
      </c>
      <c r="X27" s="542">
        <f t="shared" si="13"/>
        <v>5254736</v>
      </c>
      <c r="Y27" s="542">
        <f t="shared" si="13"/>
        <v>2699945</v>
      </c>
      <c r="Z27" s="542">
        <f t="shared" si="13"/>
        <v>2074520</v>
      </c>
      <c r="AA27" s="542">
        <f t="shared" si="13"/>
        <v>1954290</v>
      </c>
      <c r="AB27" s="542">
        <f t="shared" si="13"/>
        <v>2252954</v>
      </c>
      <c r="AC27" s="542">
        <f t="shared" si="13"/>
        <v>2632656</v>
      </c>
      <c r="AD27" s="542">
        <f t="shared" si="13"/>
        <v>3869259</v>
      </c>
      <c r="AE27" s="542">
        <f t="shared" si="13"/>
        <v>9627846</v>
      </c>
      <c r="AF27" s="542">
        <f t="shared" si="13"/>
        <v>0</v>
      </c>
    </row>
    <row r="28" spans="1:39" ht="16" thickTop="1">
      <c r="A28" s="483"/>
      <c r="B28" s="481" t="s">
        <v>269</v>
      </c>
      <c r="C28" s="491">
        <f>SUM(U28:AF28)</f>
        <v>36797805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/>
      <c r="AB28" s="543"/>
      <c r="AC28" s="543"/>
      <c r="AD28" s="543"/>
      <c r="AE28" s="543"/>
      <c r="AF28" s="543"/>
    </row>
    <row r="29" spans="1:39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</row>
    <row r="30" spans="1:39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4">U30+1</f>
        <v>201502</v>
      </c>
      <c r="W30" s="484">
        <f t="shared" si="14"/>
        <v>201503</v>
      </c>
      <c r="X30" s="484">
        <f t="shared" si="14"/>
        <v>201504</v>
      </c>
      <c r="Y30" s="484">
        <f t="shared" si="14"/>
        <v>201505</v>
      </c>
      <c r="Z30" s="484">
        <f t="shared" si="14"/>
        <v>201506</v>
      </c>
      <c r="AA30" s="484">
        <f t="shared" si="14"/>
        <v>201507</v>
      </c>
      <c r="AB30" s="484">
        <f t="shared" si="14"/>
        <v>201508</v>
      </c>
      <c r="AC30" s="484">
        <f t="shared" si="14"/>
        <v>201509</v>
      </c>
      <c r="AD30" s="484">
        <f t="shared" si="14"/>
        <v>201510</v>
      </c>
      <c r="AE30" s="484">
        <f t="shared" si="14"/>
        <v>201511</v>
      </c>
      <c r="AF30" s="484">
        <f t="shared" si="14"/>
        <v>201512</v>
      </c>
    </row>
    <row r="31" spans="1:39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270</v>
      </c>
      <c r="AF31" s="492" t="s">
        <v>270</v>
      </c>
      <c r="AH31" s="707"/>
      <c r="AI31" s="708"/>
      <c r="AJ31" s="708"/>
      <c r="AK31" s="708"/>
      <c r="AL31" s="708"/>
      <c r="AM31" s="564"/>
    </row>
    <row r="32" spans="1:39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270</v>
      </c>
      <c r="AF32" s="492" t="s">
        <v>270</v>
      </c>
      <c r="AH32" s="708"/>
      <c r="AI32" s="708"/>
      <c r="AJ32" s="708"/>
      <c r="AK32" s="708"/>
      <c r="AL32" s="708"/>
    </row>
    <row r="33" spans="1:39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H33" s="708"/>
      <c r="AI33" s="708"/>
      <c r="AJ33" s="708"/>
      <c r="AK33" s="708"/>
      <c r="AL33" s="708"/>
    </row>
    <row r="34" spans="1:39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H34" s="708"/>
      <c r="AI34" s="708"/>
      <c r="AJ34" s="708"/>
      <c r="AK34" s="708"/>
      <c r="AL34" s="708"/>
    </row>
    <row r="35" spans="1:39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H35" s="708"/>
      <c r="AI35" s="708"/>
      <c r="AJ35" s="708"/>
      <c r="AK35" s="708"/>
      <c r="AL35" s="708"/>
    </row>
    <row r="36" spans="1:39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270</v>
      </c>
      <c r="AF36" s="492" t="s">
        <v>270</v>
      </c>
      <c r="AH36" s="708"/>
      <c r="AI36" s="708"/>
      <c r="AJ36" s="708"/>
      <c r="AK36" s="708"/>
      <c r="AL36" s="708"/>
    </row>
    <row r="37" spans="1:39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</row>
    <row r="38" spans="1:39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</row>
    <row r="39" spans="1:39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H39" s="564"/>
    </row>
    <row r="40" spans="1:39" s="483" customFormat="1" ht="16" thickBot="1">
      <c r="A40" s="536">
        <v>191000</v>
      </c>
      <c r="B40" s="485" t="s">
        <v>256</v>
      </c>
      <c r="C40" s="486" t="s">
        <v>251</v>
      </c>
      <c r="D40" s="685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5">U40+1</f>
        <v>201502</v>
      </c>
      <c r="W40" s="484">
        <f t="shared" si="15"/>
        <v>201503</v>
      </c>
      <c r="X40" s="484">
        <f t="shared" si="15"/>
        <v>201504</v>
      </c>
      <c r="Y40" s="484">
        <f t="shared" si="15"/>
        <v>201505</v>
      </c>
      <c r="Z40" s="484">
        <f t="shared" si="15"/>
        <v>201506</v>
      </c>
      <c r="AA40" s="484">
        <f t="shared" si="15"/>
        <v>201507</v>
      </c>
      <c r="AB40" s="484">
        <f t="shared" si="15"/>
        <v>201508</v>
      </c>
      <c r="AC40" s="484">
        <f t="shared" si="15"/>
        <v>201509</v>
      </c>
      <c r="AD40" s="484">
        <f t="shared" si="15"/>
        <v>201510</v>
      </c>
      <c r="AE40" s="484">
        <f t="shared" si="15"/>
        <v>201511</v>
      </c>
      <c r="AF40" s="484">
        <f t="shared" si="15"/>
        <v>201512</v>
      </c>
      <c r="AH40" s="564"/>
      <c r="AI40" s="484"/>
    </row>
    <row r="41" spans="1:39" s="483" customFormat="1" ht="16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H41" s="513">
        <f>AH4</f>
        <v>201506</v>
      </c>
      <c r="AI41" s="526"/>
      <c r="AJ41" s="514"/>
      <c r="AK41" s="514"/>
      <c r="AL41" s="514"/>
      <c r="AM41" s="515"/>
    </row>
    <row r="42" spans="1:39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f>T47</f>
        <v>-1737468.3702166961</v>
      </c>
      <c r="V42" s="482">
        <f>U47</f>
        <v>-1379625.346046696</v>
      </c>
      <c r="W42" s="482">
        <f t="shared" ref="W42:AE42" si="16">V47</f>
        <v>-1139196.8415066958</v>
      </c>
      <c r="X42" s="482">
        <f t="shared" si="16"/>
        <v>-927936.74257669575</v>
      </c>
      <c r="Y42" s="482">
        <f t="shared" si="16"/>
        <v>-767403.9580847763</v>
      </c>
      <c r="Z42" s="482">
        <f t="shared" si="16"/>
        <v>-685903.92338007619</v>
      </c>
      <c r="AA42" s="482">
        <f t="shared" si="16"/>
        <v>-623363.07088572613</v>
      </c>
      <c r="AB42" s="482">
        <f t="shared" si="16"/>
        <v>-564427.81872858922</v>
      </c>
      <c r="AC42" s="482">
        <f t="shared" si="16"/>
        <v>-496357.29729955469</v>
      </c>
      <c r="AD42" s="482">
        <f t="shared" si="16"/>
        <v>-416678.50147523766</v>
      </c>
      <c r="AE42" s="482">
        <f t="shared" si="16"/>
        <v>-299312.54063388787</v>
      </c>
      <c r="AF42" s="482">
        <f>AE47</f>
        <v>-299561.96775108279</v>
      </c>
      <c r="AH42" s="497" t="s">
        <v>308</v>
      </c>
      <c r="AI42" s="527">
        <v>419600</v>
      </c>
      <c r="AJ42" s="498" t="s">
        <v>288</v>
      </c>
      <c r="AK42" s="498" t="s">
        <v>291</v>
      </c>
      <c r="AL42" s="519">
        <v>0</v>
      </c>
      <c r="AM42" s="520">
        <f>IF(SUMIF(U40:AF40,AH41,U44:AF44)&gt;0,SUMIF(U40:AF40,AH41,U44:AF44),0)</f>
        <v>0</v>
      </c>
    </row>
    <row r="43" spans="1:39">
      <c r="B43" s="481" t="s">
        <v>23</v>
      </c>
      <c r="C43" s="482">
        <f>SUM(U43:AF43)</f>
        <v>1444686.7752400001</v>
      </c>
      <c r="D43" s="491">
        <f>SUM(F43:Q43)</f>
        <v>-10808.645800000002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17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Z43" si="18">SUMPRODUCT(V19:V26,V31:V38)</f>
        <v>241476.50453999999</v>
      </c>
      <c r="W43" s="482">
        <f t="shared" si="18"/>
        <v>213416.55893</v>
      </c>
      <c r="X43" s="482">
        <f t="shared" si="18"/>
        <v>159796.52176</v>
      </c>
      <c r="Y43" s="482">
        <f t="shared" si="18"/>
        <v>82105.327449999997</v>
      </c>
      <c r="Z43" s="482">
        <f t="shared" si="18"/>
        <v>63086.153200000001</v>
      </c>
      <c r="AA43" s="482">
        <f>SUMPRODUCT(AA19:AA26,AA31:AA38)</f>
        <v>59429.958899999998</v>
      </c>
      <c r="AB43" s="482">
        <f t="shared" ref="AB43:AD43" si="19">SUMPRODUCT(AB19:AB26,AB31:AB38)</f>
        <v>68512.331139999995</v>
      </c>
      <c r="AC43" s="482">
        <f t="shared" si="19"/>
        <v>80059.068960000004</v>
      </c>
      <c r="AD43" s="482">
        <f t="shared" si="19"/>
        <v>117664.16618999999</v>
      </c>
      <c r="AE43" s="563"/>
      <c r="AF43" s="563"/>
      <c r="AH43" s="499" t="s">
        <v>309</v>
      </c>
      <c r="AI43" s="528">
        <v>431600</v>
      </c>
      <c r="AJ43" s="358" t="s">
        <v>288</v>
      </c>
      <c r="AK43" s="358" t="s">
        <v>291</v>
      </c>
      <c r="AL43" s="381">
        <f>IF(SUMIF(U40:AF40,AH41,U44:AF44)&lt;0,-SUMIF(U40:AF40,AH41,U44:AF44),0)</f>
        <v>545.30070565006349</v>
      </c>
      <c r="AM43" s="500">
        <v>0</v>
      </c>
    </row>
    <row r="44" spans="1:39">
      <c r="B44" s="481" t="s">
        <v>4</v>
      </c>
      <c r="C44" s="482">
        <f t="shared" ref="C44:C46" si="20">SUM(U44:AF44)</f>
        <v>-7174.6277475130237</v>
      </c>
      <c r="D44" s="491">
        <f>SUM(F44:Q44)</f>
        <v>1068.3629816064952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f>(((X42+X46)*(X41/12))+((X43/2)*(X41/12)))</f>
        <v>-705.49726808057983</v>
      </c>
      <c r="Y44" s="489">
        <f t="shared" ref="Y44:AD44" si="21">((Y42*(Y41/12))+((Y43/2)*(Y41/12)))</f>
        <v>-605.29274529981353</v>
      </c>
      <c r="Z44" s="489">
        <f t="shared" si="21"/>
        <v>-545.30070565006349</v>
      </c>
      <c r="AA44" s="489">
        <f t="shared" si="21"/>
        <v>-494.70674286310515</v>
      </c>
      <c r="AB44" s="489">
        <f t="shared" si="21"/>
        <v>-441.80971096549104</v>
      </c>
      <c r="AC44" s="489">
        <f t="shared" si="21"/>
        <v>-380.27313568296228</v>
      </c>
      <c r="AD44" s="489">
        <f t="shared" si="21"/>
        <v>-298.20534865019806</v>
      </c>
      <c r="AE44" s="560">
        <f>((AE42+AE45)*(AE41/12))+(((AE43+AE46)/2)*(AE41/12))</f>
        <v>-249.42711719490657</v>
      </c>
      <c r="AF44" s="560">
        <f t="shared" ref="AF44" si="22">((AF42*(AF41/12))+((AF43/2)*(AF41/12)))</f>
        <v>-249.63497312590235</v>
      </c>
      <c r="AH44" s="499" t="s">
        <v>310</v>
      </c>
      <c r="AI44" s="528">
        <v>191000</v>
      </c>
      <c r="AJ44" s="358" t="s">
        <v>288</v>
      </c>
      <c r="AK44" s="358" t="s">
        <v>291</v>
      </c>
      <c r="AL44" s="381">
        <f>IF((SUMIF(U40:AF40,AH41,U43:AF43)+SUMIF(U40:AF40,AH41,U44:AF44))&gt;0,(SUMIF(U40:AF40,AH41,U43:AF43)+SUMIF(U40:AF40,AH41,U44:AF44)),0)</f>
        <v>62540.852494349936</v>
      </c>
      <c r="AM44" s="500">
        <f>IF((SUMIF(U40:AF40,AH41,U43:AF43)+SUMIF(U40:AF40,AH41,U44:AF44))&lt;0,-(SUMIF(U40:AF40,AH41,U43:AF43)+SUMIF(U40:AF40,AH41,U44:AF44)),0)</f>
        <v>0</v>
      </c>
    </row>
    <row r="45" spans="1:39">
      <c r="B45" s="481" t="s">
        <v>259</v>
      </c>
      <c r="C45" s="482">
        <f t="shared" si="20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63">
        <f>-AE9-AE10-AE11</f>
        <v>0</v>
      </c>
      <c r="AF45" s="563">
        <v>0</v>
      </c>
      <c r="AH45" s="499" t="s">
        <v>311</v>
      </c>
      <c r="AI45" s="528">
        <v>805110</v>
      </c>
      <c r="AJ45" s="358" t="s">
        <v>288</v>
      </c>
      <c r="AK45" s="358" t="s">
        <v>291</v>
      </c>
      <c r="AL45" s="381">
        <f>IF((SUMIF(U40:AF40,AH41,U43:AF43))&lt;0,-(SUMIF(U40:AF40,AH41,U43:AF43)),0)</f>
        <v>0</v>
      </c>
      <c r="AM45" s="500">
        <f>IF((SUMIF(U40:AF40,AH41,U43:AF43))&gt;0,(SUMIF(U40:AF40,AH41,U43:AF43)),0)</f>
        <v>63086.153200000001</v>
      </c>
    </row>
    <row r="46" spans="1:39">
      <c r="B46" s="481" t="s">
        <v>148</v>
      </c>
      <c r="C46" s="482">
        <f t="shared" si="20"/>
        <v>144.61999999999989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63"/>
      <c r="AF46" s="563">
        <f>-AE46*2</f>
        <v>0</v>
      </c>
      <c r="AH46" s="499" t="s">
        <v>156</v>
      </c>
      <c r="AI46" s="528">
        <f t="shared" ref="AI46:AK47" si="23">AI44</f>
        <v>191000</v>
      </c>
      <c r="AJ46" s="528" t="str">
        <f t="shared" si="23"/>
        <v>GD</v>
      </c>
      <c r="AK46" s="528" t="str">
        <f t="shared" si="23"/>
        <v>ID</v>
      </c>
      <c r="AL46" s="381">
        <v>0</v>
      </c>
      <c r="AM46" s="500"/>
    </row>
    <row r="47" spans="1:39" ht="16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24">SUM(F42:F46)</f>
        <v>122203.74560073584</v>
      </c>
      <c r="G47" s="541">
        <f t="shared" si="24"/>
        <v>121907.05607206978</v>
      </c>
      <c r="H47" s="541">
        <f t="shared" si="24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F47" si="25">SUM(V42:V46)</f>
        <v>-1139196.8415066958</v>
      </c>
      <c r="W47" s="541">
        <f t="shared" si="25"/>
        <v>-927936.74257669575</v>
      </c>
      <c r="X47" s="541">
        <f t="shared" si="25"/>
        <v>-767403.9580847763</v>
      </c>
      <c r="Y47" s="541">
        <f t="shared" si="25"/>
        <v>-685903.92338007619</v>
      </c>
      <c r="Z47" s="541">
        <f t="shared" si="25"/>
        <v>-623363.07088572613</v>
      </c>
      <c r="AA47" s="541">
        <f t="shared" si="25"/>
        <v>-564427.81872858922</v>
      </c>
      <c r="AB47" s="541">
        <f t="shared" si="25"/>
        <v>-496357.29729955469</v>
      </c>
      <c r="AC47" s="541">
        <f t="shared" si="25"/>
        <v>-416678.50147523766</v>
      </c>
      <c r="AD47" s="541">
        <f t="shared" si="25"/>
        <v>-299312.54063388787</v>
      </c>
      <c r="AE47" s="541">
        <f t="shared" si="25"/>
        <v>-299561.96775108279</v>
      </c>
      <c r="AF47" s="541">
        <f t="shared" si="25"/>
        <v>-299811.60272420867</v>
      </c>
      <c r="AH47" s="501" t="str">
        <f>AH46</f>
        <v>Large Customer Refund</v>
      </c>
      <c r="AI47" s="529">
        <f t="shared" si="23"/>
        <v>805110</v>
      </c>
      <c r="AJ47" s="529" t="str">
        <f t="shared" si="23"/>
        <v>GD</v>
      </c>
      <c r="AK47" s="529" t="str">
        <f t="shared" si="23"/>
        <v>ID</v>
      </c>
      <c r="AL47" s="503"/>
      <c r="AM47" s="521">
        <v>0</v>
      </c>
    </row>
    <row r="48" spans="1:39" ht="16.5" thickTop="1" thickBot="1">
      <c r="B48" s="481" t="s">
        <v>260</v>
      </c>
      <c r="E48" s="482" t="e">
        <f ca="1">_xll.Get_Balance(E40,"YTD","USD","Total","A","","001",$A$40,"GD","ID","DL")</f>
        <v>#NAME?</v>
      </c>
      <c r="F48" s="482" t="e">
        <f ca="1">_xll.Get_Balance(F40,"YTD","USD","Total","A","","001",$A$40,"GD","ID","DL")</f>
        <v>#NAME?</v>
      </c>
      <c r="G48" s="482" t="e">
        <f ca="1">_xll.Get_Balance(G40,"YTD","USD","Total","A","","001",$A$40,"GD","ID","DL")</f>
        <v>#NAME?</v>
      </c>
      <c r="H48" s="482" t="e">
        <f ca="1">_xll.Get_Balance(H40,"YTD","USD","Total","A","","001",$A$40,"GD","ID","DL")</f>
        <v>#NAME?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 t="e">
        <f ca="1">_xll.Get_Balance(S40,"YTD","USD","Total","A","","001",$A$40,"GD","ID","DL")</f>
        <v>#NAME?</v>
      </c>
      <c r="T48" s="482" t="e">
        <f ca="1">_xll.Get_Balance(T40,"YTD","USD","Total","A","","001",$A$40,"GD","ID","DL")</f>
        <v>#NAME?</v>
      </c>
      <c r="U48" s="482" t="e">
        <f ca="1">_xll.Get_Balance(U40,"YTD","USD","Total","A","","001",$A$40,"GD","ID","DL")</f>
        <v>#NAME?</v>
      </c>
      <c r="V48" s="482" t="e">
        <f ca="1">_xll.Get_Balance(V40,"YTD","USD","Total","A","","001",$A$40,"GD","ID","DL")</f>
        <v>#NAME?</v>
      </c>
      <c r="W48" s="482" t="e">
        <f ca="1">_xll.Get_Balance(W40,"YTD","USD","Total","A","","001",$A$40,"GD","ID","DL")</f>
        <v>#NAME?</v>
      </c>
      <c r="X48" s="482" t="e">
        <f ca="1">_xll.Get_Balance(X40,"YTD","USD","Total","A","","001",$A$40,"GD","ID","DL")</f>
        <v>#NAME?</v>
      </c>
      <c r="Y48" s="482" t="e">
        <f ca="1">_xll.Get_Balance(Y40,"YTD","USD","Total","A","","001",$A$40,"GD","ID","DL")</f>
        <v>#NAME?</v>
      </c>
      <c r="Z48" s="482" t="e">
        <f ca="1">_xll.Get_Balance(Z40,"YTD","USD","Total","A","","001",$A$40,"GD","ID","DL")</f>
        <v>#NAME?</v>
      </c>
      <c r="AA48" s="482" t="e">
        <f ca="1">_xll.Get_Balance(AA40,"YTD","USD","Total","A","","001",$A$40,"GD","ID","DL")</f>
        <v>#NAME?</v>
      </c>
      <c r="AB48" s="482" t="e">
        <f ca="1">_xll.Get_Balance(AB40,"YTD","USD","Total","A","","001",$A$40,"GD","ID","DL")</f>
        <v>#NAME?</v>
      </c>
      <c r="AC48" s="482" t="e">
        <f ca="1">_xll.Get_Balance(AC40,"YTD","USD","Total","A","","001",$A$40,"GD","ID","DL")</f>
        <v>#NAME?</v>
      </c>
      <c r="AD48" s="482" t="e">
        <f ca="1">_xll.Get_Balance(AD40,"YTD","USD","Total","A","","001",$A$40,"GD","ID","DL")</f>
        <v>#NAME?</v>
      </c>
      <c r="AE48" s="482" t="e">
        <f ca="1">_xll.Get_Balance(AE40,"YTD","USD","Total","A","","001",$A$40,"GD","ID","DL")</f>
        <v>#NAME?</v>
      </c>
      <c r="AF48" s="482" t="e">
        <f ca="1">_xll.Get_Balance(AF40,"YTD","USD","Total","A","","001",$A$40,"GD","ID","DL")</f>
        <v>#NAME?</v>
      </c>
      <c r="AH48" s="516"/>
      <c r="AI48" s="530"/>
      <c r="AJ48" s="517"/>
      <c r="AK48" s="517"/>
      <c r="AL48" s="517" t="s">
        <v>159</v>
      </c>
      <c r="AM48" s="518">
        <f>SUM(AL42:AL47)-SUM(AM42:AM47)</f>
        <v>0</v>
      </c>
    </row>
    <row r="49" spans="1:33">
      <c r="B49" s="481" t="s">
        <v>245</v>
      </c>
      <c r="E49" s="482" t="e">
        <f t="shared" ref="E49:H49" ca="1" si="26">E47-E48</f>
        <v>#NAME?</v>
      </c>
      <c r="F49" s="482" t="e">
        <f t="shared" ca="1" si="26"/>
        <v>#NAME?</v>
      </c>
      <c r="G49" s="482" t="e">
        <f t="shared" ca="1" si="26"/>
        <v>#NAME?</v>
      </c>
      <c r="H49" s="482" t="e">
        <f t="shared" ca="1" si="26"/>
        <v>#NAME?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 t="e">
        <f ca="1">S47-S48</f>
        <v>#NAME?</v>
      </c>
      <c r="T49" s="482" t="e">
        <f ca="1">T47-T48</f>
        <v>#NAME?</v>
      </c>
      <c r="U49" s="482" t="e">
        <f ca="1">U47-U48</f>
        <v>#NAME?</v>
      </c>
      <c r="V49" s="482" t="e">
        <f t="shared" ref="V49:AG49" ca="1" si="27">V47-V48</f>
        <v>#NAME?</v>
      </c>
      <c r="W49" s="482" t="e">
        <f t="shared" ca="1" si="27"/>
        <v>#NAME?</v>
      </c>
      <c r="X49" s="482" t="e">
        <f t="shared" ca="1" si="27"/>
        <v>#NAME?</v>
      </c>
      <c r="Y49" s="482" t="e">
        <f t="shared" ca="1" si="27"/>
        <v>#NAME?</v>
      </c>
      <c r="Z49" s="482" t="e">
        <f t="shared" ca="1" si="27"/>
        <v>#NAME?</v>
      </c>
      <c r="AA49" s="482" t="e">
        <f t="shared" ca="1" si="27"/>
        <v>#NAME?</v>
      </c>
      <c r="AB49" s="482" t="e">
        <f t="shared" ca="1" si="27"/>
        <v>#NAME?</v>
      </c>
      <c r="AC49" s="482" t="e">
        <f t="shared" ca="1" si="27"/>
        <v>#NAME?</v>
      </c>
      <c r="AD49" s="482" t="e">
        <f t="shared" ca="1" si="27"/>
        <v>#NAME?</v>
      </c>
      <c r="AE49" s="482" t="e">
        <f t="shared" ca="1" si="27"/>
        <v>#NAME?</v>
      </c>
      <c r="AF49" s="482" t="e">
        <f t="shared" ca="1" si="27"/>
        <v>#NAME?</v>
      </c>
      <c r="AG49" s="482">
        <f t="shared" si="27"/>
        <v>0</v>
      </c>
    </row>
    <row r="50" spans="1:33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</row>
    <row r="51" spans="1:33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28">U51+1</f>
        <v>201502</v>
      </c>
      <c r="W51" s="484">
        <f t="shared" si="28"/>
        <v>201503</v>
      </c>
      <c r="X51" s="484">
        <f t="shared" si="28"/>
        <v>201504</v>
      </c>
      <c r="Y51" s="484">
        <f t="shared" si="28"/>
        <v>201505</v>
      </c>
      <c r="Z51" s="484">
        <f t="shared" si="28"/>
        <v>201506</v>
      </c>
      <c r="AA51" s="484">
        <f t="shared" si="28"/>
        <v>201507</v>
      </c>
      <c r="AB51" s="484">
        <f t="shared" si="28"/>
        <v>201508</v>
      </c>
      <c r="AC51" s="484">
        <f t="shared" si="28"/>
        <v>201509</v>
      </c>
      <c r="AD51" s="484">
        <f t="shared" si="28"/>
        <v>201510</v>
      </c>
      <c r="AE51" s="484">
        <f t="shared" si="28"/>
        <v>201511</v>
      </c>
      <c r="AF51" s="484">
        <f t="shared" si="28"/>
        <v>201512</v>
      </c>
    </row>
    <row r="52" spans="1:33">
      <c r="A52" s="483"/>
      <c r="B52" s="481" t="s">
        <v>37</v>
      </c>
      <c r="C52" s="491">
        <f>SUM(U52:AF52)</f>
        <v>39097164</v>
      </c>
      <c r="D52" s="491">
        <f>SUM(F52:Q52)</f>
        <v>52384687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f>Jan!$K36</f>
        <v>8991869</v>
      </c>
      <c r="V52" s="491">
        <f>Feb!$K36</f>
        <v>5607449</v>
      </c>
      <c r="W52" s="491">
        <f>Mar!$K36</f>
        <v>5090227</v>
      </c>
      <c r="X52" s="491">
        <f>Apr!$K36</f>
        <v>3621515</v>
      </c>
      <c r="Y52" s="491">
        <f>May!$K36</f>
        <v>1624041</v>
      </c>
      <c r="Z52" s="491">
        <f>Jun!$K36</f>
        <v>985347</v>
      </c>
      <c r="AA52" s="491">
        <f>Jul!$K36</f>
        <v>990038</v>
      </c>
      <c r="AB52" s="491">
        <f>Aug!$K36</f>
        <v>930531</v>
      </c>
      <c r="AC52" s="491">
        <f>Sep!$K36</f>
        <v>1531464</v>
      </c>
      <c r="AD52" s="491">
        <f>Oct!$K36</f>
        <v>2476612</v>
      </c>
      <c r="AE52" s="491">
        <f>Nov!$K36</f>
        <v>7248071</v>
      </c>
      <c r="AF52" s="491">
        <f>Dec!$K36</f>
        <v>0</v>
      </c>
      <c r="AG52" s="491">
        <f>Jan!$K36</f>
        <v>8991869</v>
      </c>
    </row>
    <row r="53" spans="1:33">
      <c r="A53" s="483"/>
      <c r="B53" s="481" t="s">
        <v>38</v>
      </c>
      <c r="C53" s="491">
        <f t="shared" ref="C53:C60" si="29">SUM(U53:AF53)</f>
        <v>18037646</v>
      </c>
      <c r="D53" s="491">
        <f>SUM(F53:Q53)</f>
        <v>20863784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f>Jan!$K37</f>
        <v>2818068</v>
      </c>
      <c r="V53" s="491">
        <f>Feb!$K37</f>
        <v>2333245</v>
      </c>
      <c r="W53" s="491">
        <f>Mar!$K37</f>
        <v>1927746</v>
      </c>
      <c r="X53" s="491">
        <f>Apr!$K37</f>
        <v>1633221</v>
      </c>
      <c r="Y53" s="491">
        <f>May!$K37</f>
        <v>1075904</v>
      </c>
      <c r="Z53" s="491">
        <f>Jun!$K37</f>
        <v>1089173</v>
      </c>
      <c r="AA53" s="491">
        <f>Jul!$K37</f>
        <v>964252</v>
      </c>
      <c r="AB53" s="491">
        <f>Aug!$K37</f>
        <v>1322423</v>
      </c>
      <c r="AC53" s="491">
        <f>Sep!$K37</f>
        <v>1101192</v>
      </c>
      <c r="AD53" s="491">
        <f>Oct!$K37</f>
        <v>1392647</v>
      </c>
      <c r="AE53" s="491">
        <f>Nov!$K37</f>
        <v>2379775</v>
      </c>
      <c r="AF53" s="491">
        <f>Dec!$K37</f>
        <v>0</v>
      </c>
      <c r="AG53" s="491">
        <f>Jan!$K37</f>
        <v>2818068</v>
      </c>
    </row>
    <row r="54" spans="1:33">
      <c r="A54" s="483"/>
      <c r="B54" s="481" t="s">
        <v>39</v>
      </c>
      <c r="C54" s="491">
        <f t="shared" si="29"/>
        <v>246353</v>
      </c>
      <c r="D54" s="491">
        <f>SUM(F54:Q54)</f>
        <v>216282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f>Jan!$K38</f>
        <v>2994</v>
      </c>
      <c r="V54" s="491">
        <f>Feb!$K38</f>
        <v>1973</v>
      </c>
      <c r="W54" s="491">
        <f>Mar!$K38</f>
        <v>871</v>
      </c>
      <c r="X54" s="491">
        <f>Apr!$K38</f>
        <v>5610</v>
      </c>
      <c r="Y54" s="491">
        <f>May!$K38</f>
        <v>18173</v>
      </c>
      <c r="Z54" s="491">
        <f>Jun!$K38</f>
        <v>21920</v>
      </c>
      <c r="AA54" s="491">
        <f>Jul!$K38</f>
        <v>28026</v>
      </c>
      <c r="AB54" s="491">
        <f>Aug!$K38</f>
        <v>47622</v>
      </c>
      <c r="AC54" s="491">
        <f>Sep!$K38</f>
        <v>26734</v>
      </c>
      <c r="AD54" s="491">
        <f>Oct!$K38</f>
        <v>68934</v>
      </c>
      <c r="AE54" s="491">
        <f>Nov!$K38</f>
        <v>23496</v>
      </c>
      <c r="AF54" s="491">
        <f>Dec!$K38</f>
        <v>0</v>
      </c>
      <c r="AG54" s="491">
        <f>Jan!$K38</f>
        <v>2994</v>
      </c>
    </row>
    <row r="55" spans="1:33">
      <c r="A55" s="483"/>
      <c r="B55" s="481" t="s">
        <v>40</v>
      </c>
      <c r="C55" s="491">
        <f t="shared" si="29"/>
        <v>0</v>
      </c>
      <c r="D55" s="491">
        <f>SUM(F55:Q55)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f>Jan!$K39</f>
        <v>0</v>
      </c>
      <c r="V55" s="491">
        <f>Feb!$K39</f>
        <v>0</v>
      </c>
      <c r="W55" s="491">
        <f>Mar!$K39</f>
        <v>0</v>
      </c>
      <c r="X55" s="491">
        <f>Apr!$K39</f>
        <v>0</v>
      </c>
      <c r="Y55" s="491">
        <f>May!$K39</f>
        <v>0</v>
      </c>
      <c r="Z55" s="491">
        <f>Jun!$K39</f>
        <v>0</v>
      </c>
      <c r="AA55" s="491">
        <f>Jul!$K39</f>
        <v>0</v>
      </c>
      <c r="AB55" s="491">
        <f>Aug!$K39</f>
        <v>0</v>
      </c>
      <c r="AC55" s="491">
        <f>Sep!$K39</f>
        <v>0</v>
      </c>
      <c r="AD55" s="491">
        <f>Oct!$K39</f>
        <v>0</v>
      </c>
      <c r="AE55" s="491">
        <f>Nov!$K39</f>
        <v>0</v>
      </c>
      <c r="AF55" s="491">
        <f>Dec!$K39</f>
        <v>0</v>
      </c>
      <c r="AG55" s="491">
        <f>Jan!$K39</f>
        <v>0</v>
      </c>
    </row>
    <row r="56" spans="1:33" hidden="1">
      <c r="A56" s="483"/>
      <c r="B56" s="481" t="s">
        <v>41</v>
      </c>
      <c r="C56" s="491">
        <f t="shared" si="29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</row>
    <row r="57" spans="1:33" hidden="1">
      <c r="A57" s="483"/>
      <c r="B57" s="481" t="s">
        <v>42</v>
      </c>
      <c r="C57" s="491">
        <f t="shared" si="29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</row>
    <row r="58" spans="1:33">
      <c r="A58" s="483"/>
      <c r="B58" s="481" t="s">
        <v>43</v>
      </c>
      <c r="C58" s="491">
        <f t="shared" si="29"/>
        <v>148273</v>
      </c>
      <c r="D58" s="491">
        <f>SUM(F58:Q58)</f>
        <v>312916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f>Jan!$K42</f>
        <v>40458</v>
      </c>
      <c r="V58" s="491">
        <f>Feb!$K42</f>
        <v>33212</v>
      </c>
      <c r="W58" s="491">
        <f>Mar!$K42</f>
        <v>33140</v>
      </c>
      <c r="X58" s="491">
        <f>Apr!$K42</f>
        <v>25684</v>
      </c>
      <c r="Y58" s="491">
        <f>May!$K42</f>
        <v>15779</v>
      </c>
      <c r="Z58" s="491">
        <f>Jun!$K42</f>
        <v>0</v>
      </c>
      <c r="AA58" s="491">
        <f>Jul!$K42</f>
        <v>0</v>
      </c>
      <c r="AB58" s="491">
        <f>Aug!$K42</f>
        <v>0</v>
      </c>
      <c r="AC58" s="491">
        <f>Sep!$K42</f>
        <v>0</v>
      </c>
      <c r="AD58" s="491">
        <f>Oct!$K42</f>
        <v>0</v>
      </c>
      <c r="AE58" s="491">
        <f>Nov!$K42</f>
        <v>0</v>
      </c>
      <c r="AF58" s="491">
        <f>Dec!$K42</f>
        <v>0</v>
      </c>
      <c r="AG58" s="491">
        <f>Jan!$K42</f>
        <v>40458</v>
      </c>
    </row>
    <row r="59" spans="1:33" hidden="1">
      <c r="A59" s="483"/>
      <c r="B59" s="481" t="s">
        <v>74</v>
      </c>
      <c r="C59" s="491">
        <f t="shared" ref="C59" si="30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</row>
    <row r="60" spans="1:33" ht="16" thickBot="1">
      <c r="A60" s="483"/>
      <c r="B60" s="481" t="s">
        <v>21</v>
      </c>
      <c r="C60" s="542">
        <f t="shared" si="29"/>
        <v>57529436</v>
      </c>
      <c r="D60" s="542">
        <f>SUM(F60:Q60)</f>
        <v>73777669</v>
      </c>
      <c r="E60" s="542" t="s">
        <v>272</v>
      </c>
      <c r="F60" s="542">
        <f>SUM(F52:F59)</f>
        <v>0</v>
      </c>
      <c r="G60" s="542">
        <f t="shared" ref="G60:H60" si="31">SUM(G52:G59)</f>
        <v>9560411</v>
      </c>
      <c r="H60" s="542">
        <f t="shared" si="31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F60" si="32">SUM(U52:U59)</f>
        <v>11853389</v>
      </c>
      <c r="V60" s="542">
        <f t="shared" si="32"/>
        <v>7975879</v>
      </c>
      <c r="W60" s="542">
        <f t="shared" si="32"/>
        <v>7051984</v>
      </c>
      <c r="X60" s="542">
        <f t="shared" si="32"/>
        <v>5286030</v>
      </c>
      <c r="Y60" s="542">
        <f t="shared" si="32"/>
        <v>2733897</v>
      </c>
      <c r="Z60" s="542">
        <f t="shared" si="32"/>
        <v>2096440</v>
      </c>
      <c r="AA60" s="542">
        <f t="shared" si="32"/>
        <v>1982316</v>
      </c>
      <c r="AB60" s="542">
        <f t="shared" si="32"/>
        <v>2300576</v>
      </c>
      <c r="AC60" s="542">
        <f t="shared" si="32"/>
        <v>2659390</v>
      </c>
      <c r="AD60" s="542">
        <f t="shared" si="32"/>
        <v>3938193</v>
      </c>
      <c r="AE60" s="542">
        <f t="shared" si="32"/>
        <v>9651342</v>
      </c>
      <c r="AF60" s="542">
        <f t="shared" si="32"/>
        <v>0</v>
      </c>
    </row>
    <row r="61" spans="1:33" ht="16" thickTop="1">
      <c r="A61" s="483"/>
      <c r="B61" s="481" t="s">
        <v>269</v>
      </c>
      <c r="C61" s="491">
        <f>SUM(U61:AF61)</f>
        <v>36997619</v>
      </c>
      <c r="D61" s="491">
        <f>SUM(F61:Q61)</f>
        <v>73777669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f>Mar!K44</f>
        <v>7051984</v>
      </c>
      <c r="X61" s="543">
        <v>5286030</v>
      </c>
      <c r="Y61" s="684">
        <v>2733897</v>
      </c>
      <c r="Z61" s="543">
        <v>2096440</v>
      </c>
      <c r="AA61" s="543"/>
      <c r="AB61" s="543"/>
      <c r="AC61" s="543"/>
      <c r="AD61" s="543"/>
      <c r="AE61" s="543"/>
    </row>
    <row r="62" spans="1:33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</row>
    <row r="63" spans="1:33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33">U63+1</f>
        <v>201502</v>
      </c>
      <c r="W63" s="484">
        <f t="shared" si="33"/>
        <v>201503</v>
      </c>
      <c r="X63" s="484">
        <f t="shared" si="33"/>
        <v>201504</v>
      </c>
      <c r="Y63" s="484">
        <f t="shared" si="33"/>
        <v>201505</v>
      </c>
      <c r="Z63" s="484">
        <f t="shared" si="33"/>
        <v>201506</v>
      </c>
      <c r="AA63" s="484">
        <f t="shared" si="33"/>
        <v>201507</v>
      </c>
      <c r="AB63" s="484">
        <f t="shared" si="33"/>
        <v>201508</v>
      </c>
      <c r="AC63" s="484">
        <f t="shared" si="33"/>
        <v>201509</v>
      </c>
      <c r="AD63" s="484">
        <f t="shared" si="33"/>
        <v>201510</v>
      </c>
      <c r="AE63" s="484">
        <f t="shared" si="33"/>
        <v>201511</v>
      </c>
      <c r="AF63" s="484">
        <f t="shared" si="33"/>
        <v>201512</v>
      </c>
    </row>
    <row r="64" spans="1:33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</row>
    <row r="65" spans="1:39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</row>
    <row r="66" spans="1:39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</row>
    <row r="67" spans="1:39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H67" s="707" t="s">
        <v>330</v>
      </c>
      <c r="AI67" s="708"/>
      <c r="AJ67" s="708"/>
      <c r="AK67" s="708"/>
      <c r="AL67" s="708"/>
      <c r="AM67" s="708"/>
    </row>
    <row r="68" spans="1:39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H68" s="708"/>
      <c r="AI68" s="708"/>
      <c r="AJ68" s="708"/>
      <c r="AK68" s="708"/>
      <c r="AL68" s="708"/>
      <c r="AM68" s="708"/>
    </row>
    <row r="69" spans="1:39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H69" s="708"/>
      <c r="AI69" s="708"/>
      <c r="AJ69" s="708"/>
      <c r="AK69" s="708"/>
      <c r="AL69" s="708"/>
      <c r="AM69" s="708"/>
    </row>
    <row r="70" spans="1:39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H70" s="708"/>
      <c r="AI70" s="708"/>
      <c r="AJ70" s="708"/>
      <c r="AK70" s="708"/>
      <c r="AL70" s="708"/>
      <c r="AM70" s="708"/>
    </row>
    <row r="71" spans="1:39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H71" s="708"/>
      <c r="AI71" s="708"/>
      <c r="AJ71" s="708"/>
      <c r="AK71" s="708"/>
      <c r="AL71" s="708"/>
      <c r="AM71" s="708"/>
    </row>
    <row r="72" spans="1:39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H72" s="708"/>
      <c r="AI72" s="708"/>
      <c r="AJ72" s="708"/>
      <c r="AK72" s="708"/>
      <c r="AL72" s="708"/>
      <c r="AM72" s="708"/>
    </row>
    <row r="73" spans="1:39" s="483" customFormat="1" ht="16" thickBot="1">
      <c r="A73" s="536">
        <v>191015</v>
      </c>
      <c r="B73" s="485" t="s">
        <v>256</v>
      </c>
      <c r="C73" s="486" t="s">
        <v>251</v>
      </c>
      <c r="D73" s="685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34">U73+1</f>
        <v>201502</v>
      </c>
      <c r="W73" s="484">
        <f t="shared" si="34"/>
        <v>201503</v>
      </c>
      <c r="X73" s="484">
        <f t="shared" si="34"/>
        <v>201504</v>
      </c>
      <c r="Y73" s="484">
        <f t="shared" si="34"/>
        <v>201505</v>
      </c>
      <c r="Z73" s="484">
        <f t="shared" si="34"/>
        <v>201506</v>
      </c>
      <c r="AA73" s="484">
        <f t="shared" si="34"/>
        <v>201507</v>
      </c>
      <c r="AB73" s="484">
        <f t="shared" si="34"/>
        <v>201508</v>
      </c>
      <c r="AC73" s="484">
        <f t="shared" si="34"/>
        <v>201509</v>
      </c>
      <c r="AD73" s="484">
        <f t="shared" si="34"/>
        <v>201510</v>
      </c>
      <c r="AE73" s="484">
        <f t="shared" si="34"/>
        <v>201511</v>
      </c>
      <c r="AF73" s="484">
        <f t="shared" si="34"/>
        <v>201512</v>
      </c>
      <c r="AH73" s="564" t="s">
        <v>330</v>
      </c>
      <c r="AI73" s="525"/>
      <c r="AJ73" s="482"/>
      <c r="AK73" s="482"/>
      <c r="AL73" s="482"/>
      <c r="AM73" s="482"/>
    </row>
    <row r="74" spans="1:39" s="483" customFormat="1" ht="16" thickBot="1">
      <c r="A74" s="484"/>
      <c r="B74" s="485" t="s">
        <v>257</v>
      </c>
      <c r="C74" s="486"/>
      <c r="D74" s="685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H74" s="513">
        <f>AH4</f>
        <v>201506</v>
      </c>
      <c r="AI74" s="526"/>
      <c r="AJ74" s="514"/>
      <c r="AK74" s="514"/>
      <c r="AL74" s="523"/>
      <c r="AM74" s="515"/>
    </row>
    <row r="75" spans="1:39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f>U79</f>
        <v>-11881.722960675279</v>
      </c>
      <c r="W75" s="482">
        <f t="shared" ref="W75:AF75" si="35">V79</f>
        <v>-11901.532960675278</v>
      </c>
      <c r="X75" s="482">
        <f t="shared" si="35"/>
        <v>-11911.450904809175</v>
      </c>
      <c r="Y75" s="482">
        <f t="shared" si="35"/>
        <v>-11921.377113896517</v>
      </c>
      <c r="Z75" s="482">
        <f t="shared" si="35"/>
        <v>-11931.311594824763</v>
      </c>
      <c r="AA75" s="482">
        <f t="shared" si="35"/>
        <v>-11941.254354487117</v>
      </c>
      <c r="AB75" s="482">
        <f t="shared" si="35"/>
        <v>-11951.205399782522</v>
      </c>
      <c r="AC75" s="482">
        <f t="shared" si="35"/>
        <v>-11961.164737615674</v>
      </c>
      <c r="AD75" s="482">
        <f t="shared" si="35"/>
        <v>-11971.132374897021</v>
      </c>
      <c r="AE75" s="482">
        <f t="shared" si="35"/>
        <v>-11981.108318542769</v>
      </c>
      <c r="AF75" s="482">
        <f t="shared" si="35"/>
        <v>-11991.092575474888</v>
      </c>
      <c r="AH75" s="497" t="s">
        <v>308</v>
      </c>
      <c r="AI75" s="527">
        <v>419600</v>
      </c>
      <c r="AJ75" s="498" t="s">
        <v>288</v>
      </c>
      <c r="AK75" s="498" t="s">
        <v>291</v>
      </c>
      <c r="AL75" s="470">
        <f>IF(SUMIF(U72:AF72,AH73,U76:AF76)&lt;0,-SUMIF(U72:AF72,AH73,U76:AF76),0)</f>
        <v>0</v>
      </c>
      <c r="AM75" s="520">
        <f>IF(SUMIF(U73:AF73,AH74,U77:AF77)&gt;0,SUMIF(U73:AF73,AH74,U77:AF77),0)</f>
        <v>0</v>
      </c>
    </row>
    <row r="76" spans="1:39">
      <c r="B76" s="481" t="s">
        <v>23</v>
      </c>
      <c r="C76" s="482">
        <f>SUM(U76:AF76)</f>
        <v>4.9799999978858978E-3</v>
      </c>
      <c r="D76" s="491">
        <f>SUM(F76:Q76)</f>
        <v>1181062.2835600001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36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H76" s="499" t="s">
        <v>309</v>
      </c>
      <c r="AI76" s="528">
        <v>431600</v>
      </c>
      <c r="AJ76" s="358" t="s">
        <v>288</v>
      </c>
      <c r="AK76" s="358" t="s">
        <v>291</v>
      </c>
      <c r="AL76" s="381">
        <f>IF(SUMIF(U73:AF73,AH74,U77:AF77)&lt;0,-SUMIF(U73:AF73,AH74,U77:AF77),0)</f>
        <v>9.9427596623539696</v>
      </c>
      <c r="AM76" s="500">
        <v>0</v>
      </c>
    </row>
    <row r="77" spans="1:39">
      <c r="B77" s="481" t="s">
        <v>4</v>
      </c>
      <c r="C77" s="482">
        <f t="shared" ref="C77:C78" si="37">SUM(U77:AF77)</f>
        <v>-109.46219194583813</v>
      </c>
      <c r="D77" s="491">
        <f>SUM(F77:Q77)</f>
        <v>-8150.2660220448734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f t="shared" ref="W77:AD77" si="38">((W75*(W74/12))+((W76/2)*(W74/12)))</f>
        <v>-9.9179441338960661</v>
      </c>
      <c r="X77" s="489">
        <f t="shared" si="38"/>
        <v>-9.926209087340979</v>
      </c>
      <c r="Y77" s="489">
        <f t="shared" si="38"/>
        <v>-9.9344809282470976</v>
      </c>
      <c r="Z77" s="489">
        <f t="shared" si="38"/>
        <v>-9.9427596623539696</v>
      </c>
      <c r="AA77" s="489">
        <f t="shared" si="38"/>
        <v>-9.9510452954059314</v>
      </c>
      <c r="AB77" s="489">
        <f t="shared" si="38"/>
        <v>-9.9593378331521034</v>
      </c>
      <c r="AC77" s="489">
        <f t="shared" si="38"/>
        <v>-9.9676372813463967</v>
      </c>
      <c r="AD77" s="489">
        <f t="shared" si="38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H77" s="499" t="s">
        <v>312</v>
      </c>
      <c r="AI77" s="528">
        <v>191015</v>
      </c>
      <c r="AJ77" s="358" t="s">
        <v>288</v>
      </c>
      <c r="AK77" s="358" t="s">
        <v>291</v>
      </c>
      <c r="AL77" s="381">
        <f>IF((SUMIF(U73:AF73,AH74,U76:AF76)+SUMIF(U73:AF73,AH74,U77:AF77))&gt;0,(SUMIF(U73:AF73,AH74,U76:AF76)+SUMIF(U73:AF73,AH74,U77:AF77)),0)</f>
        <v>0</v>
      </c>
      <c r="AM77" s="500">
        <f>IF((SUMIF(U73:AF73,AH74,U76:AF76)+SUMIF(U73:AF73,AH74,U77:AF77))&lt;0,-(SUMIF(U73:AF73,AH74,U76:AF76)+SUMIF(U73:AF73,AH74,U77:AF77)),0)</f>
        <v>9.9427596623539696</v>
      </c>
    </row>
    <row r="78" spans="1:39">
      <c r="B78" s="481" t="s">
        <v>148</v>
      </c>
      <c r="C78" s="482">
        <f t="shared" si="37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H78" s="499" t="s">
        <v>313</v>
      </c>
      <c r="AI78" s="528">
        <v>805111</v>
      </c>
      <c r="AJ78" s="358" t="s">
        <v>288</v>
      </c>
      <c r="AK78" s="358" t="s">
        <v>291</v>
      </c>
      <c r="AL78" s="381">
        <f>IF((SUMIF(U73:AF73,AH74,U76:AF76))&lt;0,-(SUMIF(U73:AF73,AH74,U76:AF76)),0)</f>
        <v>0</v>
      </c>
      <c r="AM78" s="500">
        <f>IF((SUMIF(U73:AF73,AH74,U76:AF76))&gt;0,(SUMIF(U73:AF73,AH74,U76:AF76)),0)</f>
        <v>0</v>
      </c>
    </row>
    <row r="79" spans="1:39" ht="16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F79" si="39">SUM(V75:V78)</f>
        <v>-11901.532960675278</v>
      </c>
      <c r="W79" s="541">
        <f t="shared" si="39"/>
        <v>-11911.450904809175</v>
      </c>
      <c r="X79" s="541">
        <f t="shared" si="39"/>
        <v>-11921.377113896517</v>
      </c>
      <c r="Y79" s="541">
        <f t="shared" si="39"/>
        <v>-11931.311594824763</v>
      </c>
      <c r="Z79" s="541">
        <f t="shared" si="39"/>
        <v>-11941.254354487117</v>
      </c>
      <c r="AA79" s="541">
        <f t="shared" si="39"/>
        <v>-11951.205399782522</v>
      </c>
      <c r="AB79" s="541">
        <f t="shared" si="39"/>
        <v>-11961.164737615674</v>
      </c>
      <c r="AC79" s="541">
        <f t="shared" si="39"/>
        <v>-11971.132374897021</v>
      </c>
      <c r="AD79" s="541">
        <f t="shared" si="39"/>
        <v>-11981.108318542769</v>
      </c>
      <c r="AE79" s="541">
        <f t="shared" si="39"/>
        <v>-11991.092575474888</v>
      </c>
      <c r="AF79" s="541">
        <f t="shared" si="39"/>
        <v>-12001.085152621117</v>
      </c>
      <c r="AH79" s="499" t="s">
        <v>332</v>
      </c>
      <c r="AI79" s="528">
        <v>191015</v>
      </c>
      <c r="AJ79" s="358" t="s">
        <v>288</v>
      </c>
      <c r="AK79" s="358" t="s">
        <v>291</v>
      </c>
      <c r="AL79" s="381">
        <v>0</v>
      </c>
      <c r="AM79" s="500">
        <v>0</v>
      </c>
    </row>
    <row r="80" spans="1:39" ht="16.5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 t="e">
        <f ca="1">_xll.Get_Balance(V73,"YTD","USD","Total","A","","001",$A$73,"GD","ID","DL")</f>
        <v>#NAME?</v>
      </c>
      <c r="W80" s="482" t="e">
        <f ca="1">_xll.Get_Balance(W73,"YTD","USD","Total","A","","001",$A$73,"GD","ID","DL")</f>
        <v>#NAME?</v>
      </c>
      <c r="X80" s="482" t="e">
        <f ca="1">_xll.Get_Balance(X73,"YTD","USD","Total","A","","001",$A$73,"GD","ID","DL")</f>
        <v>#NAME?</v>
      </c>
      <c r="Y80" s="482" t="e">
        <f ca="1">_xll.Get_Balance(Y73,"YTD","USD","Total","A","","001",$A$73,"GD","ID","DL")</f>
        <v>#NAME?</v>
      </c>
      <c r="Z80" s="482" t="e">
        <f ca="1">_xll.Get_Balance(Z73,"YTD","USD","Total","A","","001",$A$73,"GD","ID","DL")</f>
        <v>#NAME?</v>
      </c>
      <c r="AA80" s="482" t="e">
        <f ca="1">_xll.Get_Balance(AA73,"YTD","USD","Total","A","","001",$A$73,"GD","ID","DL")</f>
        <v>#NAME?</v>
      </c>
      <c r="AB80" s="482" t="e">
        <f ca="1">_xll.Get_Balance(AB73,"YTD","USD","Total","A","","001",$A$73,"GD","ID","DL")</f>
        <v>#NAME?</v>
      </c>
      <c r="AC80" s="482" t="e">
        <f ca="1">_xll.Get_Balance(AC73,"YTD","USD","Total","A","","001",$A$73,"GD","ID","DL")</f>
        <v>#NAME?</v>
      </c>
      <c r="AD80" s="482" t="e">
        <f ca="1">_xll.Get_Balance(AD73,"YTD","USD","Total","A","","001",$A$73,"GD","ID","DL")</f>
        <v>#NAME?</v>
      </c>
      <c r="AE80" s="482" t="e">
        <f ca="1">_xll.Get_Balance(AE73,"YTD","USD","Total","A","","001",$A$73,"GD","ID","DL")</f>
        <v>#NAME?</v>
      </c>
      <c r="AF80" s="482" t="e">
        <f ca="1">_xll.Get_Balance(AF73,"YTD","USD","Total","A","","001",$A$73,"GD","ID","DL")</f>
        <v>#NAME?</v>
      </c>
      <c r="AH80" s="501" t="s">
        <v>332</v>
      </c>
      <c r="AI80" s="529">
        <v>431600</v>
      </c>
      <c r="AJ80" s="502" t="s">
        <v>288</v>
      </c>
      <c r="AK80" s="502" t="s">
        <v>291</v>
      </c>
      <c r="AL80" s="464">
        <v>0</v>
      </c>
      <c r="AM80" s="521">
        <v>0</v>
      </c>
    </row>
    <row r="81" spans="2:41" ht="16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 t="e">
        <f t="shared" ref="V81:AF81" ca="1" si="40">V79-V80</f>
        <v>#NAME?</v>
      </c>
      <c r="W81" s="482" t="e">
        <f t="shared" ca="1" si="40"/>
        <v>#NAME?</v>
      </c>
      <c r="X81" s="482" t="e">
        <f t="shared" ca="1" si="40"/>
        <v>#NAME?</v>
      </c>
      <c r="Y81" s="482" t="e">
        <f t="shared" ca="1" si="40"/>
        <v>#NAME?</v>
      </c>
      <c r="Z81" s="482" t="e">
        <f t="shared" ca="1" si="40"/>
        <v>#NAME?</v>
      </c>
      <c r="AA81" s="482" t="e">
        <f t="shared" ca="1" si="40"/>
        <v>#NAME?</v>
      </c>
      <c r="AB81" s="482" t="e">
        <f t="shared" ca="1" si="40"/>
        <v>#NAME?</v>
      </c>
      <c r="AC81" s="482" t="e">
        <f t="shared" ca="1" si="40"/>
        <v>#NAME?</v>
      </c>
      <c r="AD81" s="482" t="e">
        <f t="shared" ca="1" si="40"/>
        <v>#NAME?</v>
      </c>
      <c r="AE81" s="482" t="e">
        <f t="shared" ca="1" si="40"/>
        <v>#NAME?</v>
      </c>
      <c r="AF81" s="482" t="e">
        <f t="shared" ca="1" si="40"/>
        <v>#NAME?</v>
      </c>
      <c r="AH81" s="516"/>
      <c r="AI81" s="530"/>
      <c r="AJ81" s="517"/>
      <c r="AK81" s="517"/>
      <c r="AL81" s="517" t="s">
        <v>159</v>
      </c>
      <c r="AM81" s="518">
        <f>SUM(AL75:AL80)-SUM(AM75:AM80)</f>
        <v>0</v>
      </c>
    </row>
    <row r="84" spans="2:41">
      <c r="X84" s="576"/>
      <c r="Y84" s="576"/>
      <c r="Z84" s="576"/>
      <c r="AA84" s="576"/>
      <c r="AB84" s="576"/>
      <c r="AC84" s="576"/>
      <c r="AD84" s="576"/>
      <c r="AE84" s="576"/>
      <c r="AF84" s="576"/>
      <c r="AG84" s="576"/>
      <c r="AH84" s="709"/>
      <c r="AI84" s="710"/>
      <c r="AJ84" s="710"/>
      <c r="AK84" s="710"/>
      <c r="AL84" s="710"/>
      <c r="AM84" s="710"/>
      <c r="AN84" s="576"/>
      <c r="AO84" s="576"/>
    </row>
    <row r="85" spans="2:41">
      <c r="X85" s="576"/>
      <c r="Y85" s="576"/>
      <c r="Z85" s="576"/>
      <c r="AA85" s="576"/>
      <c r="AB85" s="576"/>
      <c r="AC85" s="576"/>
      <c r="AD85" s="576"/>
      <c r="AE85" s="576"/>
      <c r="AF85" s="576"/>
      <c r="AG85" s="576"/>
      <c r="AH85" s="710"/>
      <c r="AI85" s="710"/>
      <c r="AJ85" s="710"/>
      <c r="AK85" s="710"/>
      <c r="AL85" s="710"/>
      <c r="AM85" s="710"/>
      <c r="AN85" s="576"/>
      <c r="AO85" s="576"/>
    </row>
    <row r="86" spans="2:41">
      <c r="X86" s="576"/>
      <c r="Y86" s="576"/>
      <c r="Z86" s="576"/>
      <c r="AA86" s="576"/>
      <c r="AB86" s="576"/>
      <c r="AC86" s="576"/>
      <c r="AD86" s="576"/>
      <c r="AE86" s="576"/>
      <c r="AF86" s="576"/>
      <c r="AG86" s="576"/>
      <c r="AH86" s="710"/>
      <c r="AI86" s="710"/>
      <c r="AJ86" s="710"/>
      <c r="AK86" s="710"/>
      <c r="AL86" s="710"/>
      <c r="AM86" s="710"/>
      <c r="AN86" s="576"/>
      <c r="AO86" s="576"/>
    </row>
    <row r="87" spans="2:41">
      <c r="X87" s="576"/>
      <c r="Y87" s="576"/>
      <c r="Z87" s="576"/>
      <c r="AA87" s="576"/>
      <c r="AB87" s="576"/>
      <c r="AC87" s="576"/>
      <c r="AD87" s="576"/>
      <c r="AE87" s="576"/>
      <c r="AF87" s="576"/>
      <c r="AG87" s="576"/>
      <c r="AH87" s="710"/>
      <c r="AI87" s="710"/>
      <c r="AJ87" s="710"/>
      <c r="AK87" s="710"/>
      <c r="AL87" s="710"/>
      <c r="AM87" s="710"/>
      <c r="AN87" s="576"/>
      <c r="AO87" s="576"/>
    </row>
    <row r="88" spans="2:41">
      <c r="X88" s="576"/>
      <c r="Y88" s="576"/>
      <c r="Z88" s="576"/>
      <c r="AA88" s="576"/>
      <c r="AB88" s="576"/>
      <c r="AC88" s="576"/>
      <c r="AD88" s="576"/>
      <c r="AE88" s="576"/>
      <c r="AF88" s="576"/>
      <c r="AG88" s="576"/>
      <c r="AH88" s="710"/>
      <c r="AI88" s="710"/>
      <c r="AJ88" s="710"/>
      <c r="AK88" s="710"/>
      <c r="AL88" s="710"/>
      <c r="AM88" s="710"/>
      <c r="AN88" s="576"/>
      <c r="AO88" s="576"/>
    </row>
    <row r="89" spans="2:41">
      <c r="X89" s="576"/>
      <c r="Y89" s="576"/>
      <c r="Z89" s="576"/>
      <c r="AA89" s="576"/>
      <c r="AB89" s="576"/>
      <c r="AC89" s="576"/>
      <c r="AD89" s="576"/>
      <c r="AE89" s="576"/>
      <c r="AF89" s="576"/>
      <c r="AG89" s="576"/>
      <c r="AH89" s="710"/>
      <c r="AI89" s="710"/>
      <c r="AJ89" s="710"/>
      <c r="AK89" s="710"/>
      <c r="AL89" s="710"/>
      <c r="AM89" s="710"/>
      <c r="AN89" s="576"/>
      <c r="AO89" s="576"/>
    </row>
    <row r="90" spans="2:41">
      <c r="X90" s="576"/>
      <c r="Y90" s="576"/>
      <c r="Z90" s="576"/>
      <c r="AA90" s="576"/>
      <c r="AB90" s="576"/>
      <c r="AC90" s="576"/>
      <c r="AD90" s="576"/>
      <c r="AE90" s="576"/>
      <c r="AF90" s="576"/>
      <c r="AG90" s="576"/>
      <c r="AH90" s="358"/>
      <c r="AI90" s="528"/>
      <c r="AJ90" s="358"/>
      <c r="AK90" s="358"/>
      <c r="AL90" s="576"/>
      <c r="AM90" s="576"/>
      <c r="AN90" s="576"/>
      <c r="AO90" s="576"/>
    </row>
    <row r="91" spans="2:41">
      <c r="M91" s="482">
        <v>13246436.58</v>
      </c>
      <c r="X91" s="576"/>
      <c r="Y91" s="576"/>
      <c r="Z91" s="576"/>
      <c r="AA91" s="576"/>
      <c r="AB91" s="576"/>
      <c r="AC91" s="576"/>
      <c r="AD91" s="576"/>
      <c r="AE91" s="576"/>
      <c r="AF91" s="576"/>
      <c r="AG91" s="576"/>
      <c r="AH91" s="7"/>
      <c r="AI91" s="209"/>
      <c r="AJ91" s="7"/>
      <c r="AK91" s="7"/>
      <c r="AL91" s="576"/>
      <c r="AM91" s="576"/>
      <c r="AN91" s="576"/>
      <c r="AO91" s="576"/>
    </row>
    <row r="92" spans="2:41">
      <c r="X92" s="576"/>
      <c r="Y92" s="576"/>
      <c r="Z92" s="576"/>
      <c r="AA92" s="576"/>
      <c r="AB92" s="576"/>
      <c r="AC92" s="576"/>
      <c r="AD92" s="576"/>
      <c r="AE92" s="576"/>
      <c r="AF92" s="576"/>
      <c r="AG92" s="576"/>
      <c r="AH92" s="358"/>
      <c r="AI92" s="528"/>
      <c r="AJ92" s="358"/>
      <c r="AK92" s="358"/>
      <c r="AL92" s="576"/>
      <c r="AM92" s="576"/>
      <c r="AN92" s="576"/>
      <c r="AO92" s="576"/>
    </row>
    <row r="93" spans="2:41">
      <c r="X93" s="576"/>
      <c r="Y93" s="576"/>
      <c r="Z93" s="576"/>
      <c r="AA93" s="576"/>
      <c r="AB93" s="576"/>
      <c r="AC93" s="576"/>
      <c r="AD93" s="576"/>
      <c r="AE93" s="576"/>
      <c r="AF93" s="576"/>
      <c r="AG93" s="576"/>
      <c r="AH93" s="576"/>
      <c r="AI93" s="603"/>
      <c r="AJ93" s="576"/>
      <c r="AK93" s="576"/>
      <c r="AL93" s="576"/>
      <c r="AM93" s="576"/>
      <c r="AN93" s="576"/>
      <c r="AO93" s="576"/>
    </row>
  </sheetData>
  <mergeCells count="3">
    <mergeCell ref="AH31:AL36"/>
    <mergeCell ref="AH67:AM72"/>
    <mergeCell ref="AH84:AM89"/>
  </mergeCells>
  <conditionalFormatting sqref="E28">
    <cfRule type="cellIs" dxfId="416" priority="26" operator="notEqual">
      <formula>E27</formula>
    </cfRule>
  </conditionalFormatting>
  <conditionalFormatting sqref="F28">
    <cfRule type="cellIs" dxfId="415" priority="25" operator="notEqual">
      <formula>F27</formula>
    </cfRule>
  </conditionalFormatting>
  <conditionalFormatting sqref="G28">
    <cfRule type="cellIs" dxfId="414" priority="24" operator="notEqual">
      <formula>G27</formula>
    </cfRule>
  </conditionalFormatting>
  <conditionalFormatting sqref="H28">
    <cfRule type="cellIs" dxfId="413" priority="23" operator="notEqual">
      <formula>H27</formula>
    </cfRule>
  </conditionalFormatting>
  <conditionalFormatting sqref="C28">
    <cfRule type="cellIs" dxfId="412" priority="22" operator="notEqual">
      <formula>C27</formula>
    </cfRule>
  </conditionalFormatting>
  <conditionalFormatting sqref="F61">
    <cfRule type="cellIs" dxfId="411" priority="21" operator="notEqual">
      <formula>F60</formula>
    </cfRule>
  </conditionalFormatting>
  <conditionalFormatting sqref="G61">
    <cfRule type="cellIs" dxfId="410" priority="20" operator="notEqual">
      <formula>G60</formula>
    </cfRule>
  </conditionalFormatting>
  <conditionalFormatting sqref="H61">
    <cfRule type="cellIs" dxfId="409" priority="19" operator="notEqual">
      <formula>H60</formula>
    </cfRule>
  </conditionalFormatting>
  <conditionalFormatting sqref="C61">
    <cfRule type="cellIs" dxfId="408" priority="18" operator="notEqual">
      <formula>C60</formula>
    </cfRule>
  </conditionalFormatting>
  <conditionalFormatting sqref="I61">
    <cfRule type="cellIs" dxfId="407" priority="17" operator="notEqual">
      <formula>I60</formula>
    </cfRule>
  </conditionalFormatting>
  <conditionalFormatting sqref="AM81 AM48 AM11">
    <cfRule type="cellIs" dxfId="406" priority="16" operator="notEqual">
      <formula>0</formula>
    </cfRule>
  </conditionalFormatting>
  <conditionalFormatting sqref="I28">
    <cfRule type="cellIs" dxfId="405" priority="15" operator="notEqual">
      <formula>I27</formula>
    </cfRule>
  </conditionalFormatting>
  <conditionalFormatting sqref="J28">
    <cfRule type="cellIs" dxfId="404" priority="14" operator="notEqual">
      <formula>J27</formula>
    </cfRule>
  </conditionalFormatting>
  <conditionalFormatting sqref="J61">
    <cfRule type="cellIs" dxfId="403" priority="13" operator="notEqual">
      <formula>J60</formula>
    </cfRule>
  </conditionalFormatting>
  <conditionalFormatting sqref="K28">
    <cfRule type="cellIs" dxfId="402" priority="12" operator="notEqual">
      <formula>K27</formula>
    </cfRule>
  </conditionalFormatting>
  <conditionalFormatting sqref="K61">
    <cfRule type="cellIs" dxfId="401" priority="11" operator="notEqual">
      <formula>K60</formula>
    </cfRule>
  </conditionalFormatting>
  <conditionalFormatting sqref="L28:M28">
    <cfRule type="cellIs" dxfId="400" priority="10" operator="notEqual">
      <formula>L27</formula>
    </cfRule>
  </conditionalFormatting>
  <conditionalFormatting sqref="N28">
    <cfRule type="cellIs" dxfId="399" priority="9" operator="notEqual">
      <formula>N27</formula>
    </cfRule>
  </conditionalFormatting>
  <conditionalFormatting sqref="U61">
    <cfRule type="cellIs" dxfId="398" priority="8" operator="notEqual">
      <formula>U60</formula>
    </cfRule>
  </conditionalFormatting>
  <conditionalFormatting sqref="U28:V28">
    <cfRule type="cellIs" dxfId="397" priority="7" operator="notEqual">
      <formula>U27</formula>
    </cfRule>
  </conditionalFormatting>
  <conditionalFormatting sqref="V28">
    <cfRule type="cellIs" dxfId="396" priority="6" operator="notEqual">
      <formula>V27</formula>
    </cfRule>
  </conditionalFormatting>
  <conditionalFormatting sqref="V61">
    <cfRule type="cellIs" dxfId="395" priority="5" operator="notEqual">
      <formula>V60</formula>
    </cfRule>
  </conditionalFormatting>
  <conditionalFormatting sqref="W28">
    <cfRule type="cellIs" dxfId="394" priority="4" operator="notEqual">
      <formula>W27</formula>
    </cfRule>
  </conditionalFormatting>
  <conditionalFormatting sqref="W61">
    <cfRule type="cellIs" dxfId="393" priority="3" operator="notEqual">
      <formula>W60</formula>
    </cfRule>
  </conditionalFormatting>
  <conditionalFormatting sqref="X28:Y28">
    <cfRule type="cellIs" dxfId="392" priority="2" operator="notEqual">
      <formula>X27</formula>
    </cfRule>
  </conditionalFormatting>
  <conditionalFormatting sqref="Z28">
    <cfRule type="cellIs" dxfId="391" priority="1" operator="notEqual">
      <formula>Z27</formula>
    </cfRule>
  </conditionalFormatting>
  <pageMargins left="0" right="0" top="0.75" bottom="0.75" header="0.3" footer="0.3"/>
  <pageSetup scale="4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tabColor theme="4" tint="0.39997558519241921"/>
  </sheetPr>
  <dimension ref="A1:AM80"/>
  <sheetViews>
    <sheetView workbookViewId="0">
      <selection activeCell="Y36" sqref="Y36"/>
    </sheetView>
  </sheetViews>
  <sheetFormatPr defaultColWidth="9.09765625" defaultRowHeight="15.5"/>
  <cols>
    <col min="1" max="1" width="17.296875" style="482" customWidth="1"/>
    <col min="2" max="2" width="18.69921875" style="481" bestFit="1" customWidth="1"/>
    <col min="3" max="3" width="16.09765625" style="482" customWidth="1"/>
    <col min="4" max="4" width="16.296875" style="482" customWidth="1"/>
    <col min="5" max="5" width="15.59765625" style="482" hidden="1" customWidth="1"/>
    <col min="6" max="6" width="18.296875" style="482" hidden="1" customWidth="1"/>
    <col min="7" max="7" width="16.296875" style="482" hidden="1" customWidth="1"/>
    <col min="8" max="9" width="19.8984375" style="482" hidden="1" customWidth="1"/>
    <col min="10" max="10" width="16.296875" style="482" hidden="1" customWidth="1"/>
    <col min="11" max="11" width="21.59765625" style="482" hidden="1" customWidth="1"/>
    <col min="12" max="18" width="16.296875" style="482" hidden="1" customWidth="1"/>
    <col min="19" max="20" width="16.296875" style="482" customWidth="1"/>
    <col min="21" max="21" width="19.8984375" style="482" customWidth="1"/>
    <col min="22" max="22" width="16.296875" style="482" customWidth="1"/>
    <col min="23" max="23" width="21.59765625" style="482" customWidth="1"/>
    <col min="24" max="25" width="16.296875" style="482" customWidth="1"/>
    <col min="26" max="32" width="16.296875" style="482" hidden="1" customWidth="1"/>
    <col min="33" max="33" width="11.69921875" style="482" customWidth="1"/>
    <col min="34" max="34" width="37.8984375" style="482" bestFit="1" customWidth="1"/>
    <col min="35" max="35" width="14.3984375" style="525" bestFit="1" customWidth="1"/>
    <col min="36" max="36" width="4.69921875" style="482" bestFit="1" customWidth="1"/>
    <col min="37" max="37" width="5" style="482" bestFit="1" customWidth="1"/>
    <col min="38" max="38" width="18.296875" style="482" customWidth="1"/>
    <col min="39" max="39" width="17.09765625" style="482" bestFit="1" customWidth="1"/>
    <col min="40" max="40" width="0.3984375" style="482" customWidth="1"/>
    <col min="41" max="16384" width="9.09765625" style="482"/>
  </cols>
  <sheetData>
    <row r="1" spans="1:39">
      <c r="A1" s="480" t="s">
        <v>265</v>
      </c>
      <c r="AH1" s="480" t="s">
        <v>315</v>
      </c>
    </row>
    <row r="2" spans="1:39">
      <c r="A2" s="483" t="s">
        <v>266</v>
      </c>
    </row>
    <row r="3" spans="1:39" s="483" customFormat="1" ht="31.5" thickBot="1">
      <c r="A3" s="484">
        <v>191010</v>
      </c>
      <c r="B3" s="485" t="s">
        <v>256</v>
      </c>
      <c r="C3" s="486" t="s">
        <v>251</v>
      </c>
      <c r="D3" s="682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 t="shared" ref="AF3" si="1">AE3+1</f>
        <v>201512</v>
      </c>
      <c r="AI3" s="484"/>
    </row>
    <row r="4" spans="1:39" s="483" customFormat="1" ht="16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H4" s="544">
        <v>201505</v>
      </c>
      <c r="AI4" s="526"/>
      <c r="AJ4" s="514"/>
      <c r="AK4" s="514"/>
      <c r="AL4" s="514"/>
      <c r="AM4" s="515"/>
    </row>
    <row r="5" spans="1:39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-1154882.2995837759</v>
      </c>
      <c r="W5" s="482">
        <f t="shared" ref="W5:AD5" si="2">V13</f>
        <v>-1883329.5456927749</v>
      </c>
      <c r="X5" s="482">
        <f t="shared" si="2"/>
        <v>-872806.43822777225</v>
      </c>
      <c r="Y5" s="482">
        <f t="shared" si="2"/>
        <v>-2959310.535139773</v>
      </c>
      <c r="Z5" s="482">
        <f t="shared" si="2"/>
        <v>-3131335.1133777718</v>
      </c>
      <c r="AA5" s="482">
        <f t="shared" si="2"/>
        <v>-3303665.3888877728</v>
      </c>
      <c r="AB5" s="482">
        <f t="shared" si="2"/>
        <v>-3655951.1713057715</v>
      </c>
      <c r="AC5" s="482">
        <f t="shared" si="2"/>
        <v>-3747278.07094577</v>
      </c>
      <c r="AD5" s="482">
        <f t="shared" si="2"/>
        <v>-4948357.8050077725</v>
      </c>
      <c r="AE5" s="482">
        <f>AD13</f>
        <v>-6093381.4883727729</v>
      </c>
      <c r="AF5" s="482">
        <f t="shared" ref="AF5" si="3">AE13</f>
        <v>-7722519.1945627714</v>
      </c>
      <c r="AH5" s="497" t="s">
        <v>294</v>
      </c>
      <c r="AI5" s="527">
        <v>419600</v>
      </c>
      <c r="AJ5" s="498" t="s">
        <v>288</v>
      </c>
      <c r="AK5" s="498" t="s">
        <v>289</v>
      </c>
      <c r="AL5" s="519">
        <v>0</v>
      </c>
      <c r="AM5" s="520">
        <f>IF(SUMIF(U3:AF3,AH4,U8:AF8)&gt;0,SUMIF(U3:AF3,AH4,U8:AF8),0)</f>
        <v>0</v>
      </c>
    </row>
    <row r="6" spans="1:39">
      <c r="B6" s="481" t="s">
        <v>254</v>
      </c>
      <c r="C6" s="482">
        <f>SUM(U6:AF6)</f>
        <v>-10042423.246235993</v>
      </c>
      <c r="D6" s="482">
        <f>-2523837.34+SUM(E6:N6,E9:T9)</f>
        <v>4.5212078839540482E-3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f>Feb!$H$53</f>
        <v>0</v>
      </c>
      <c r="W6" s="482">
        <f>Mar!$H$53</f>
        <v>1135107.4385570027</v>
      </c>
      <c r="X6" s="482">
        <f>Apr!$H$53</f>
        <v>-2310603.7085020011</v>
      </c>
      <c r="Y6" s="482">
        <f>May!$H$53</f>
        <v>-1026688.9535339989</v>
      </c>
      <c r="Z6" s="482">
        <f>Jun!$H$53</f>
        <v>-1511176.335440001</v>
      </c>
      <c r="AA6" s="482">
        <f>Jul!$H$53</f>
        <v>-1483614.197077998</v>
      </c>
      <c r="AB6" s="482">
        <f>Aug!$H$53</f>
        <v>-1288286.6270379988</v>
      </c>
      <c r="AC6" s="482">
        <f>Sep!$H$53</f>
        <v>-2088616.5970920017</v>
      </c>
      <c r="AD6" s="482">
        <f>Oct!$H$55</f>
        <v>-1862270.5500129997</v>
      </c>
      <c r="AE6" s="482">
        <f>Nov!$H$55</f>
        <v>-294955.25549999811</v>
      </c>
      <c r="AF6" s="482">
        <f>Dec!$H$53</f>
        <v>0</v>
      </c>
      <c r="AH6" s="499" t="s">
        <v>295</v>
      </c>
      <c r="AI6" s="528">
        <v>431600</v>
      </c>
      <c r="AJ6" s="358" t="s">
        <v>288</v>
      </c>
      <c r="AK6" s="358" t="s">
        <v>289</v>
      </c>
      <c r="AL6" s="381">
        <f>IF(SUMIF(U3:AF3,AH4,U8:AF8)&lt;0,-SUMIF(U3:AF3,AH4,U8:AF8),0)</f>
        <v>8236.6</v>
      </c>
      <c r="AM6" s="500">
        <v>0</v>
      </c>
    </row>
    <row r="7" spans="1:39">
      <c r="B7" s="481" t="s">
        <v>255</v>
      </c>
      <c r="C7" s="482">
        <f t="shared" ref="C7:C12" si="4">SUM(U7:AF7)</f>
        <v>2652361.2041769996</v>
      </c>
      <c r="D7" s="482">
        <f>5059705.37+SUM(E7:N7,E10:T10)</f>
        <v>-2.4999678134918213E-4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f>Feb!$I$53</f>
        <v>-724338.56610899908</v>
      </c>
      <c r="W7" s="482">
        <f>Mar!$I$53</f>
        <v>-120857.11109200004</v>
      </c>
      <c r="X7" s="482">
        <f>Apr!$I$53</f>
        <v>229663.83159000031</v>
      </c>
      <c r="Y7" s="482">
        <f>May!$I$53</f>
        <v>862900.97529599979</v>
      </c>
      <c r="Z7" s="482">
        <f>Jun!$I$53</f>
        <v>1347548.3399299998</v>
      </c>
      <c r="AA7" s="482">
        <f>Jul!$I$53</f>
        <v>1140740.15466</v>
      </c>
      <c r="AB7" s="482">
        <f>Aug!$I$53</f>
        <v>1206971.3773980001</v>
      </c>
      <c r="AC7" s="482">
        <f>Sep!$I$53</f>
        <v>899296.28302999982</v>
      </c>
      <c r="AD7" s="482">
        <f>Oct!$I$55</f>
        <v>732178.99664799974</v>
      </c>
      <c r="AE7" s="563">
        <f>Nov!$I$55</f>
        <v>-1315498.7206899999</v>
      </c>
      <c r="AF7" s="482">
        <f>Dec!$I$53</f>
        <v>0</v>
      </c>
      <c r="AH7" s="499" t="s">
        <v>296</v>
      </c>
      <c r="AI7" s="528">
        <v>191010</v>
      </c>
      <c r="AJ7" s="358" t="s">
        <v>288</v>
      </c>
      <c r="AK7" s="358" t="s">
        <v>289</v>
      </c>
      <c r="AL7" s="381">
        <f>IF((SUMIF(U3:AF3,AH4,U6:AF6)+SUMIF(U3:AF3,AH4,U7:AF7)+SUMIF(U3:AF3,AH4,U8:AF8))&gt;0,(SUMIF(U3:AF3,AH4,U6:AF6)+SUMIF(U3:AF3,AH4,U7:AF7)+SUMIF(U3:AF3,AH4,U8:AF8)),0)</f>
        <v>0</v>
      </c>
      <c r="AM7" s="500">
        <f>IF((SUMIF(U3:AF3,AH4,U6:AF6)+SUMIF(U3:AF3,AH4,U7:AF7)+SUMIF(U3:AF3,AH4,U8:AF8))&lt;0,-(SUMIF(U3:AF3,AH4,U6:AF6)+SUMIF(U3:AF3,AH4,U7:AF7)++SUMIF(U3:AF3,AH4,U8:AF8)),0)</f>
        <v>172024.57823799914</v>
      </c>
    </row>
    <row r="8" spans="1:39">
      <c r="B8" s="481" t="s">
        <v>258</v>
      </c>
      <c r="C8" s="482">
        <f t="shared" si="4"/>
        <v>-117362.70999999999</v>
      </c>
      <c r="D8" s="482">
        <f>-38846.64+SUM(E8:N8,E11:T11)</f>
        <v>5.9999999990395736E-2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5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f>ROUND(((V5)*(V4/12))+((SUM(V6:V7)/2)*(V4/12)),2)</f>
        <v>-4108.68</v>
      </c>
      <c r="W8" s="489">
        <f t="shared" ref="W8:AC8" si="6">ROUND(((W5)*(W4/12))+((SUM(W6:W7)/2)*(W4/12)),2)</f>
        <v>-3727.22</v>
      </c>
      <c r="X8" s="489">
        <f>ROUND(((X5+X12)*(X4/12))+((SUM(X6:X7)/2)*(X4/12)),2)</f>
        <v>-5182.82</v>
      </c>
      <c r="Y8" s="489">
        <f t="shared" si="6"/>
        <v>-8236.6</v>
      </c>
      <c r="Z8" s="489">
        <f t="shared" si="6"/>
        <v>-8702.2800000000007</v>
      </c>
      <c r="AA8" s="489">
        <f t="shared" si="6"/>
        <v>-9411.74</v>
      </c>
      <c r="AB8" s="489">
        <f t="shared" si="6"/>
        <v>-10011.65</v>
      </c>
      <c r="AC8" s="489">
        <f t="shared" si="6"/>
        <v>-11759.42</v>
      </c>
      <c r="AD8" s="489">
        <f>ROUND(((AD5)*(AD4/12))+((SUM(AD6:AD7)/2)*(AD4/12)),2)</f>
        <v>-14932.13</v>
      </c>
      <c r="AE8" s="560">
        <f>ROUND(((AE5+AE9+AE10+AE11)*(AE4/12))+((SUM(AE6:AE7)/2)*(AE4/12)),2)</f>
        <v>-18683.73</v>
      </c>
      <c r="AF8" s="489">
        <f>ROUND(((AF5)*(AF4/12))+((SUM(AF6:AF7)/2)*(AF4/12)),2)</f>
        <v>-20915.16</v>
      </c>
      <c r="AH8" s="499" t="s">
        <v>297</v>
      </c>
      <c r="AI8" s="528">
        <v>805120</v>
      </c>
      <c r="AJ8" s="358" t="s">
        <v>288</v>
      </c>
      <c r="AK8" s="358" t="s">
        <v>289</v>
      </c>
      <c r="AL8" s="381">
        <f>IF((SUMIF(U3:AF3,AH4,U6:AF6)+SUMIF(U3:AF3,AH4,U7:AF7))&lt;0,-(SUMIF(U3:AF3,AH4,U6:AF6)+SUMIF(U3:AF3,AH4,U7:AF7)),0)</f>
        <v>163787.97823799914</v>
      </c>
      <c r="AM8" s="500">
        <f>IF((SUMIF(U3:AF3,AH4,U6:AF6)+SUMIF(U3:AF3,AH4,U7:AF7))&gt;0,(SUMIF(U3:AF3,AH4,U6:AF6)+SUMIF(U3:AF3,AH4,U7:AF7)),0)</f>
        <v>0</v>
      </c>
    </row>
    <row r="9" spans="1:39">
      <c r="B9" s="481" t="s">
        <v>262</v>
      </c>
      <c r="C9" s="482">
        <f t="shared" si="4"/>
        <v>-69937.37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63">
        <v>0</v>
      </c>
      <c r="AF9" s="482">
        <v>0</v>
      </c>
      <c r="AH9" s="499" t="s">
        <v>11</v>
      </c>
      <c r="AI9" s="528">
        <v>191010</v>
      </c>
      <c r="AJ9" s="358" t="s">
        <v>288</v>
      </c>
      <c r="AK9" s="358" t="s">
        <v>289</v>
      </c>
      <c r="AL9" s="381">
        <v>0</v>
      </c>
      <c r="AM9" s="500">
        <v>0</v>
      </c>
    </row>
    <row r="10" spans="1:39" ht="16" thickBot="1">
      <c r="B10" s="481" t="s">
        <v>263</v>
      </c>
      <c r="C10" s="482">
        <f t="shared" si="4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63">
        <v>0</v>
      </c>
      <c r="AF10" s="482">
        <v>0</v>
      </c>
      <c r="AH10" s="501" t="str">
        <f>AH9</f>
        <v>Tracker Transfer</v>
      </c>
      <c r="AI10" s="529">
        <f>AI41</f>
        <v>191000</v>
      </c>
      <c r="AJ10" s="529" t="str">
        <f>AJ41</f>
        <v>GD</v>
      </c>
      <c r="AK10" s="529" t="str">
        <f>AK41</f>
        <v>WA</v>
      </c>
      <c r="AL10" s="503">
        <v>0</v>
      </c>
      <c r="AM10" s="521">
        <f>AL9</f>
        <v>0</v>
      </c>
    </row>
    <row r="11" spans="1:39" ht="16" thickBot="1">
      <c r="B11" s="481" t="s">
        <v>264</v>
      </c>
      <c r="C11" s="482">
        <f t="shared" si="4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63">
        <v>0</v>
      </c>
      <c r="AF11" s="482">
        <v>0</v>
      </c>
      <c r="AH11" s="516"/>
      <c r="AI11" s="530"/>
      <c r="AJ11" s="517"/>
      <c r="AK11" s="517"/>
      <c r="AL11" s="517" t="s">
        <v>159</v>
      </c>
      <c r="AM11" s="518">
        <f>SUM(AL5:AL10)-SUM(AM5:AM10)</f>
        <v>0</v>
      </c>
    </row>
    <row r="12" spans="1:39">
      <c r="B12" s="481" t="s">
        <v>148</v>
      </c>
      <c r="C12" s="482">
        <f t="shared" si="4"/>
        <v>-381.4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</row>
    <row r="13" spans="1:39" ht="16" thickBot="1">
      <c r="B13" s="481" t="s">
        <v>56</v>
      </c>
      <c r="C13" s="541">
        <f>SUM(C5:C12)</f>
        <v>-7577743.5220589936</v>
      </c>
      <c r="D13" s="541"/>
      <c r="E13" s="541">
        <f>SUM(E5:E12)</f>
        <v>2712780.2600000002</v>
      </c>
      <c r="F13" s="541">
        <f t="shared" ref="F13:H13" si="7">SUM(F5:F12)</f>
        <v>2255013.9900000002</v>
      </c>
      <c r="G13" s="541">
        <f>SUM(G5:G12)</f>
        <v>-33498.738666789999</v>
      </c>
      <c r="H13" s="541">
        <f t="shared" si="7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8">SUM(V5:V12)</f>
        <v>-1883329.5456927749</v>
      </c>
      <c r="W13" s="541">
        <f t="shared" si="8"/>
        <v>-872806.43822777225</v>
      </c>
      <c r="X13" s="541">
        <f t="shared" si="8"/>
        <v>-2959310.535139773</v>
      </c>
      <c r="Y13" s="541">
        <f>SUM(Y5:Y12)</f>
        <v>-3131335.1133777718</v>
      </c>
      <c r="Z13" s="541">
        <f t="shared" ref="Z13:AF13" si="9">SUM(Z5:Z12)</f>
        <v>-3303665.3888877728</v>
      </c>
      <c r="AA13" s="541">
        <f t="shared" si="9"/>
        <v>-3655951.1713057715</v>
      </c>
      <c r="AB13" s="541">
        <f t="shared" si="9"/>
        <v>-3747278.07094577</v>
      </c>
      <c r="AC13" s="541">
        <f t="shared" si="9"/>
        <v>-4948357.8050077725</v>
      </c>
      <c r="AD13" s="541">
        <f t="shared" si="9"/>
        <v>-6093381.4883727729</v>
      </c>
      <c r="AE13" s="541">
        <f t="shared" si="9"/>
        <v>-7722519.1945627714</v>
      </c>
      <c r="AF13" s="541">
        <f t="shared" si="9"/>
        <v>-7743434.3545627715</v>
      </c>
    </row>
    <row r="14" spans="1:39" ht="16" thickTop="1">
      <c r="B14" s="481" t="s">
        <v>260</v>
      </c>
      <c r="E14" s="482" t="e">
        <f ca="1">_xll.Get_Balance(E3,"YTD","USD","Total","A","","001",$A$3,"GD","WA","DL")</f>
        <v>#NAME?</v>
      </c>
      <c r="F14" s="482" t="e">
        <f ca="1">_xll.Get_Balance(F3,"YTD","USD","Total","A","","001",$A$3,"GD","WA","DL")</f>
        <v>#NAME?</v>
      </c>
      <c r="G14" s="482" t="e">
        <f ca="1">_xll.Get_Balance(G3,"YTD","USD","Total","A","","001",$A$3,"GD","WA","DL")</f>
        <v>#NAME?</v>
      </c>
      <c r="H14" s="482" t="e">
        <f ca="1">_xll.Get_Balance(H3,"YTD","USD","Total","A","","001",$A$3,"GD","WA","DL")</f>
        <v>#NAME?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 t="e">
        <f ca="1">_xll.Get_Balance(V3,"YTD","USD","Total","A","","001",$A$3,"GD","WA","DL")</f>
        <v>#NAME?</v>
      </c>
      <c r="W14" s="482" t="e">
        <f ca="1">_xll.Get_Balance(W3,"YTD","USD","Total","A","","001",$A$3,"GD","WA","DL")</f>
        <v>#NAME?</v>
      </c>
      <c r="X14" s="482" t="e">
        <f ca="1">_xll.Get_Balance(X3,"YTD","USD","Total","A","","001",$A$3,"GD","WA","DL")</f>
        <v>#NAME?</v>
      </c>
      <c r="Y14" s="482" t="e">
        <f ca="1">_xll.Get_Balance(Y3,"YTD","USD","Total","A","","001",$A$3,"GD","WA","DL")</f>
        <v>#NAME?</v>
      </c>
      <c r="Z14" s="482" t="e">
        <f ca="1">_xll.Get_Balance(Z3,"YTD","USD","Total","A","","001",$A$3,"GD","WA","DL")</f>
        <v>#NAME?</v>
      </c>
      <c r="AA14" s="482" t="e">
        <f ca="1">_xll.Get_Balance(AA3,"YTD","USD","Total","A","","001",$A$3,"GD","WA","DL")</f>
        <v>#NAME?</v>
      </c>
      <c r="AB14" s="482" t="e">
        <f ca="1">_xll.Get_Balance(AB3,"YTD","USD","Total","A","","001",$A$3,"GD","WA","DL")</f>
        <v>#NAME?</v>
      </c>
      <c r="AC14" s="482" t="e">
        <f ca="1">_xll.Get_Balance(AC3,"YTD","USD","Total","A","","001",$A$3,"GD","WA","DL")</f>
        <v>#NAME?</v>
      </c>
      <c r="AD14" s="482" t="e">
        <f ca="1">_xll.Get_Balance(AD3,"YTD","USD","Total","A","","001",$A$3,"GD","WA","DL")</f>
        <v>#NAME?</v>
      </c>
      <c r="AE14" s="482" t="e">
        <f ca="1">_xll.Get_Balance(AE3,"YTD","USD","Total","A","","001",$A$3,"GD","WA","DL")</f>
        <v>#NAME?</v>
      </c>
      <c r="AF14" s="482" t="e">
        <f ca="1">_xll.Get_Balance(AF3,"YTD","USD","Total","A","","001",$A$3,"GD","WA","DL")</f>
        <v>#NAME?</v>
      </c>
    </row>
    <row r="15" spans="1:39">
      <c r="B15" s="481" t="s">
        <v>245</v>
      </c>
      <c r="E15" s="482" t="e">
        <f t="shared" ref="E15:H15" ca="1" si="10">E13-E14</f>
        <v>#NAME?</v>
      </c>
      <c r="F15" s="482" t="e">
        <f t="shared" ca="1" si="10"/>
        <v>#NAME?</v>
      </c>
      <c r="G15" s="482" t="e">
        <f t="shared" ca="1" si="10"/>
        <v>#NAME?</v>
      </c>
      <c r="H15" s="482" t="e">
        <f t="shared" ca="1" si="10"/>
        <v>#NAME?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 t="e">
        <f t="shared" ref="V15:AF15" ca="1" si="11">V13-V14</f>
        <v>#NAME?</v>
      </c>
      <c r="W15" s="482" t="e">
        <f t="shared" ca="1" si="11"/>
        <v>#NAME?</v>
      </c>
      <c r="X15" s="482" t="e">
        <f t="shared" ca="1" si="11"/>
        <v>#NAME?</v>
      </c>
      <c r="Y15" s="482" t="e">
        <f t="shared" ca="1" si="11"/>
        <v>#NAME?</v>
      </c>
      <c r="Z15" s="482" t="e">
        <f t="shared" ca="1" si="11"/>
        <v>#NAME?</v>
      </c>
      <c r="AA15" s="482" t="e">
        <f t="shared" ca="1" si="11"/>
        <v>#NAME?</v>
      </c>
      <c r="AB15" s="482" t="e">
        <f t="shared" ca="1" si="11"/>
        <v>#NAME?</v>
      </c>
      <c r="AC15" s="482" t="e">
        <f t="shared" ca="1" si="11"/>
        <v>#NAME?</v>
      </c>
      <c r="AD15" s="482" t="e">
        <f t="shared" ca="1" si="11"/>
        <v>#NAME?</v>
      </c>
      <c r="AE15" s="482" t="e">
        <f t="shared" ca="1" si="11"/>
        <v>#NAME?</v>
      </c>
      <c r="AF15" s="482" t="e">
        <f t="shared" ca="1" si="11"/>
        <v>#NAME?</v>
      </c>
    </row>
    <row r="16" spans="1:39">
      <c r="A16" s="483" t="s">
        <v>268</v>
      </c>
    </row>
    <row r="17" spans="1:33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</row>
    <row r="18" spans="1:33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</row>
    <row r="19" spans="1:33">
      <c r="A19" s="483"/>
      <c r="B19" s="481" t="s">
        <v>37</v>
      </c>
      <c r="C19" s="491">
        <f>SUM(U19:AF19)</f>
        <v>83964548</v>
      </c>
      <c r="D19" s="491">
        <f t="shared" ref="D19:D28" si="14">SUM(G19:R19)</f>
        <v>118507804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f>Feb!$G23</f>
        <v>13011547</v>
      </c>
      <c r="W19" s="543">
        <f>Mar!$G23</f>
        <v>10479005</v>
      </c>
      <c r="X19" s="543">
        <f>Apr!$G23</f>
        <v>7714478</v>
      </c>
      <c r="Y19" s="543">
        <f>May!$G23</f>
        <v>3297360</v>
      </c>
      <c r="Z19" s="543">
        <f>Jun!$G23</f>
        <v>1968489</v>
      </c>
      <c r="AA19" s="543">
        <f>Jul!$G23</f>
        <v>2145139</v>
      </c>
      <c r="AB19" s="543">
        <f>Aug!$G23</f>
        <v>1956853</v>
      </c>
      <c r="AC19" s="543">
        <f>Sep!$G23</f>
        <v>3273457</v>
      </c>
      <c r="AD19" s="543">
        <f>Oct!$G23</f>
        <v>4833518</v>
      </c>
      <c r="AE19" s="543">
        <f>Nov!$G23</f>
        <v>15375028</v>
      </c>
      <c r="AF19" s="543">
        <f>Dec!$G23</f>
        <v>0</v>
      </c>
    </row>
    <row r="20" spans="1:33">
      <c r="A20" s="483"/>
      <c r="B20" s="481" t="s">
        <v>38</v>
      </c>
      <c r="C20" s="491">
        <f t="shared" ref="C20:C27" si="15">SUM(U20:AF20)</f>
        <v>35336899</v>
      </c>
      <c r="D20" s="491">
        <f t="shared" si="14"/>
        <v>47081391</v>
      </c>
      <c r="E20" s="491">
        <v>1599551</v>
      </c>
      <c r="F20" s="491">
        <v>3880001</v>
      </c>
      <c r="G20" s="491">
        <v>5651303</v>
      </c>
      <c r="H20" s="491">
        <v>7518125</v>
      </c>
      <c r="I20" s="543">
        <v>7025543</v>
      </c>
      <c r="J20" s="543">
        <v>6903553</v>
      </c>
      <c r="K20" s="543">
        <v>5310734</v>
      </c>
      <c r="L20" s="543">
        <v>3390429</v>
      </c>
      <c r="M20" s="543">
        <v>2183609</v>
      </c>
      <c r="N20" s="543">
        <v>1741655</v>
      </c>
      <c r="O20" s="543">
        <v>1476567</v>
      </c>
      <c r="P20" s="543">
        <v>1364087</v>
      </c>
      <c r="Q20" s="543">
        <v>1739755</v>
      </c>
      <c r="R20" s="543">
        <v>2776031</v>
      </c>
      <c r="S20" s="543">
        <v>6141604</v>
      </c>
      <c r="T20" s="543">
        <v>6045485</v>
      </c>
      <c r="U20" s="543">
        <v>6173752</v>
      </c>
      <c r="V20" s="543">
        <f>Feb!$G24</f>
        <v>5630395</v>
      </c>
      <c r="W20" s="543">
        <f>Mar!$G24</f>
        <v>4030672</v>
      </c>
      <c r="X20" s="543">
        <f>Apr!$G24</f>
        <v>3448422</v>
      </c>
      <c r="Y20" s="543">
        <f>May!$G24</f>
        <v>1901440</v>
      </c>
      <c r="Z20" s="543">
        <f>Jun!$G24</f>
        <v>1561904</v>
      </c>
      <c r="AA20" s="543">
        <f>Jul!$G24</f>
        <v>1323231</v>
      </c>
      <c r="AB20" s="543">
        <f>Aug!$G24</f>
        <v>1284422</v>
      </c>
      <c r="AC20" s="543">
        <f>Sep!$G24</f>
        <v>1854848</v>
      </c>
      <c r="AD20" s="543">
        <f>Oct!$G25</f>
        <v>2624293</v>
      </c>
      <c r="AE20" s="543">
        <f>Nov!$G25</f>
        <v>5503520</v>
      </c>
      <c r="AF20" s="543">
        <f>Dec!$G24</f>
        <v>0</v>
      </c>
    </row>
    <row r="21" spans="1:33">
      <c r="A21" s="483"/>
      <c r="B21" s="481" t="s">
        <v>39</v>
      </c>
      <c r="C21" s="491">
        <f t="shared" si="15"/>
        <v>0</v>
      </c>
      <c r="D21" s="491">
        <f t="shared" si="14"/>
        <v>0</v>
      </c>
      <c r="E21" s="491">
        <v>0</v>
      </c>
      <c r="F21" s="491">
        <v>0</v>
      </c>
      <c r="G21" s="491">
        <v>0</v>
      </c>
      <c r="H21" s="491">
        <v>0</v>
      </c>
      <c r="I21" s="543"/>
      <c r="J21" s="543"/>
      <c r="K21" s="543"/>
      <c r="L21" s="543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3"/>
      <c r="AF21" s="543"/>
    </row>
    <row r="22" spans="1:33">
      <c r="A22" s="483"/>
      <c r="B22" s="481" t="s">
        <v>40</v>
      </c>
      <c r="C22" s="491">
        <f t="shared" si="15"/>
        <v>4051936</v>
      </c>
      <c r="D22" s="491">
        <f t="shared" si="14"/>
        <v>4993299</v>
      </c>
      <c r="E22" s="491">
        <v>344046</v>
      </c>
      <c r="F22" s="491">
        <v>595792</v>
      </c>
      <c r="G22" s="491">
        <v>396185</v>
      </c>
      <c r="H22" s="491">
        <v>588721</v>
      </c>
      <c r="I22" s="543">
        <v>534459</v>
      </c>
      <c r="J22" s="543">
        <v>540817</v>
      </c>
      <c r="K22" s="543">
        <v>425342</v>
      </c>
      <c r="L22" s="543">
        <v>407197</v>
      </c>
      <c r="M22" s="543">
        <v>340947</v>
      </c>
      <c r="N22" s="543">
        <v>361843</v>
      </c>
      <c r="O22" s="543">
        <v>251184</v>
      </c>
      <c r="P22" s="543">
        <v>332621</v>
      </c>
      <c r="Q22" s="543">
        <v>330926</v>
      </c>
      <c r="R22" s="543">
        <v>483057</v>
      </c>
      <c r="S22" s="543">
        <v>518418</v>
      </c>
      <c r="T22" s="543">
        <v>377457</v>
      </c>
      <c r="U22" s="543">
        <v>513680</v>
      </c>
      <c r="V22" s="543">
        <f>Feb!$G26</f>
        <v>431734</v>
      </c>
      <c r="W22" s="543">
        <f>Mar!$G26</f>
        <v>335852</v>
      </c>
      <c r="X22" s="543">
        <f>Apr!$G26</f>
        <v>432834</v>
      </c>
      <c r="Y22" s="543">
        <f>May!$G26</f>
        <v>249954</v>
      </c>
      <c r="Z22" s="543">
        <f>Jun!$G26</f>
        <v>322862</v>
      </c>
      <c r="AA22" s="543">
        <f>Jul!$G26</f>
        <v>247078</v>
      </c>
      <c r="AB22" s="543">
        <f>Aug!$G26</f>
        <v>274690</v>
      </c>
      <c r="AC22" s="543">
        <f>Sep!$G26</f>
        <v>336073</v>
      </c>
      <c r="AD22" s="543">
        <f>Oct!$G27</f>
        <v>365802</v>
      </c>
      <c r="AE22" s="543">
        <f>Nov!$G27</f>
        <v>541377</v>
      </c>
      <c r="AF22" s="543">
        <f>Dec!$G26</f>
        <v>0</v>
      </c>
    </row>
    <row r="23" spans="1:33">
      <c r="A23" s="483"/>
      <c r="B23" s="481" t="s">
        <v>41</v>
      </c>
      <c r="C23" s="491">
        <f t="shared" si="15"/>
        <v>0</v>
      </c>
      <c r="D23" s="491">
        <f t="shared" si="14"/>
        <v>0</v>
      </c>
      <c r="E23" s="491">
        <v>0</v>
      </c>
      <c r="F23" s="491">
        <v>0</v>
      </c>
      <c r="G23" s="491">
        <v>0</v>
      </c>
      <c r="H23" s="491">
        <v>0</v>
      </c>
      <c r="I23" s="543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3"/>
      <c r="AC23" s="543"/>
      <c r="AD23" s="543"/>
      <c r="AE23" s="543"/>
      <c r="AF23" s="543"/>
    </row>
    <row r="24" spans="1:33">
      <c r="A24" s="483"/>
      <c r="B24" s="481" t="s">
        <v>42</v>
      </c>
      <c r="C24" s="491">
        <f t="shared" si="15"/>
        <v>0</v>
      </c>
      <c r="D24" s="491">
        <f t="shared" si="14"/>
        <v>0</v>
      </c>
      <c r="E24" s="491">
        <v>0</v>
      </c>
      <c r="F24" s="491">
        <v>0</v>
      </c>
      <c r="G24" s="491">
        <v>0</v>
      </c>
      <c r="H24" s="491">
        <v>0</v>
      </c>
      <c r="I24" s="543">
        <v>0</v>
      </c>
      <c r="J24" s="543">
        <v>0</v>
      </c>
      <c r="K24" s="543">
        <v>0</v>
      </c>
      <c r="L24" s="543">
        <v>0</v>
      </c>
      <c r="M24" s="543">
        <v>0</v>
      </c>
      <c r="N24" s="543">
        <v>0</v>
      </c>
      <c r="O24" s="543">
        <v>0</v>
      </c>
      <c r="P24" s="543">
        <v>0</v>
      </c>
      <c r="Q24" s="543">
        <v>0</v>
      </c>
      <c r="R24" s="543">
        <v>0</v>
      </c>
      <c r="S24" s="543">
        <v>0</v>
      </c>
      <c r="T24" s="543">
        <v>0</v>
      </c>
      <c r="U24" s="543">
        <v>0</v>
      </c>
      <c r="V24" s="543">
        <f>Feb!$G28</f>
        <v>0</v>
      </c>
      <c r="W24" s="543">
        <f>Mar!$G28</f>
        <v>0</v>
      </c>
      <c r="X24" s="543">
        <f>Apr!$G28</f>
        <v>0</v>
      </c>
      <c r="Y24" s="543">
        <f>May!$G28</f>
        <v>0</v>
      </c>
      <c r="Z24" s="543">
        <f>Jun!$G28</f>
        <v>0</v>
      </c>
      <c r="AA24" s="543">
        <f>Jul!$G28</f>
        <v>0</v>
      </c>
      <c r="AB24" s="543">
        <f>Aug!$G28</f>
        <v>0</v>
      </c>
      <c r="AC24" s="543">
        <f>Sep!$G28</f>
        <v>0</v>
      </c>
      <c r="AD24" s="543">
        <f>Oct!$G29</f>
        <v>0</v>
      </c>
      <c r="AE24" s="543">
        <f>Nov!$G29</f>
        <v>0</v>
      </c>
      <c r="AF24" s="543">
        <f>Dec!$G28</f>
        <v>0</v>
      </c>
    </row>
    <row r="25" spans="1:33">
      <c r="A25" s="483"/>
      <c r="B25" s="481" t="s">
        <v>43</v>
      </c>
      <c r="C25" s="491">
        <f t="shared" si="15"/>
        <v>0</v>
      </c>
      <c r="D25" s="491">
        <f t="shared" si="14"/>
        <v>0</v>
      </c>
      <c r="E25" s="491">
        <v>0</v>
      </c>
      <c r="F25" s="491">
        <v>0</v>
      </c>
      <c r="G25" s="491">
        <v>0</v>
      </c>
      <c r="H25" s="491">
        <v>0</v>
      </c>
      <c r="I25" s="543"/>
      <c r="J25" s="543"/>
      <c r="K25" s="543"/>
      <c r="L25" s="543"/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3"/>
      <c r="AF25" s="543"/>
    </row>
    <row r="26" spans="1:33">
      <c r="A26" s="483"/>
      <c r="B26" s="481" t="s">
        <v>74</v>
      </c>
      <c r="C26" s="491">
        <f t="shared" si="15"/>
        <v>26235211</v>
      </c>
      <c r="D26" s="491">
        <f t="shared" si="14"/>
        <v>30501971</v>
      </c>
      <c r="E26" s="491">
        <v>1818699</v>
      </c>
      <c r="F26" s="491">
        <v>2531895</v>
      </c>
      <c r="G26" s="491">
        <v>2936207</v>
      </c>
      <c r="H26" s="491">
        <v>3675604</v>
      </c>
      <c r="I26" s="543">
        <v>3517013</v>
      </c>
      <c r="J26" s="543">
        <v>3103551</v>
      </c>
      <c r="K26" s="543">
        <v>2882510</v>
      </c>
      <c r="L26" s="543">
        <v>2426511</v>
      </c>
      <c r="M26" s="543">
        <v>2096539</v>
      </c>
      <c r="N26" s="543">
        <v>1865473</v>
      </c>
      <c r="O26" s="543">
        <v>1934510</v>
      </c>
      <c r="P26" s="543">
        <v>1781233</v>
      </c>
      <c r="Q26" s="543">
        <v>1975142</v>
      </c>
      <c r="R26" s="543">
        <v>2307678</v>
      </c>
      <c r="S26" s="543">
        <v>3052956</v>
      </c>
      <c r="T26" s="543">
        <v>3180451</v>
      </c>
      <c r="U26" s="543">
        <v>3286166</v>
      </c>
      <c r="V26" s="543">
        <f>Feb!$G30</f>
        <v>2735718</v>
      </c>
      <c r="W26" s="543">
        <f>Mar!$G30</f>
        <v>2608561</v>
      </c>
      <c r="X26" s="543">
        <f>Apr!$G30</f>
        <v>2436951</v>
      </c>
      <c r="Y26" s="543">
        <f>May!$G30</f>
        <v>2203136</v>
      </c>
      <c r="Z26" s="543">
        <f>Jun!$G30</f>
        <v>1941783</v>
      </c>
      <c r="AA26" s="543">
        <f>Jul!$G30</f>
        <v>1912819</v>
      </c>
      <c r="AB26" s="543">
        <f>Aug!$G30</f>
        <v>1943542</v>
      </c>
      <c r="AC26" s="543">
        <f>Sep!$G30</f>
        <v>1945064</v>
      </c>
      <c r="AD26" s="543">
        <f>Oct!$G31</f>
        <v>2201297</v>
      </c>
      <c r="AE26" s="543">
        <f>Nov!$G31</f>
        <v>3020174</v>
      </c>
      <c r="AF26" s="543">
        <f>Dec!$G30</f>
        <v>0</v>
      </c>
    </row>
    <row r="27" spans="1:33" ht="16" thickBot="1">
      <c r="A27" s="483"/>
      <c r="B27" s="481" t="s">
        <v>21</v>
      </c>
      <c r="C27" s="491">
        <f t="shared" si="15"/>
        <v>149588594</v>
      </c>
      <c r="D27" s="542">
        <f t="shared" si="14"/>
        <v>201084465</v>
      </c>
      <c r="E27" s="542">
        <f>SUM(E19:E26)</f>
        <v>6409834</v>
      </c>
      <c r="F27" s="542">
        <f>SUM(F19:F26)</f>
        <v>16252041</v>
      </c>
      <c r="G27" s="542">
        <f t="shared" ref="G27:H27" si="16">SUM(G19:G26)</f>
        <v>24054373</v>
      </c>
      <c r="H27" s="542">
        <f t="shared" si="16"/>
        <v>34418458</v>
      </c>
      <c r="I27" s="542">
        <v>31759465</v>
      </c>
      <c r="J27" s="542">
        <v>30732294</v>
      </c>
      <c r="K27" s="542">
        <v>22715329</v>
      </c>
      <c r="L27" s="542">
        <v>14000465</v>
      </c>
      <c r="M27" s="542">
        <v>8312398</v>
      </c>
      <c r="N27" s="542">
        <v>6514751</v>
      </c>
      <c r="O27" s="542">
        <v>5757349</v>
      </c>
      <c r="P27" s="542">
        <v>5525718</v>
      </c>
      <c r="Q27" s="542">
        <v>6773435</v>
      </c>
      <c r="R27" s="542">
        <v>10520430</v>
      </c>
      <c r="S27" s="542">
        <v>25535994</v>
      </c>
      <c r="T27" s="542">
        <v>28660002</v>
      </c>
      <c r="U27" s="542">
        <v>29883272</v>
      </c>
      <c r="V27" s="542">
        <f t="shared" ref="V27:AF27" si="17">SUM(V19:V26)</f>
        <v>21809394</v>
      </c>
      <c r="W27" s="542">
        <f t="shared" si="17"/>
        <v>17454090</v>
      </c>
      <c r="X27" s="542">
        <f t="shared" si="17"/>
        <v>14032685</v>
      </c>
      <c r="Y27" s="542">
        <f t="shared" si="17"/>
        <v>7651890</v>
      </c>
      <c r="Z27" s="542">
        <f t="shared" si="17"/>
        <v>5795038</v>
      </c>
      <c r="AA27" s="542">
        <f t="shared" si="17"/>
        <v>5628267</v>
      </c>
      <c r="AB27" s="542">
        <f t="shared" si="17"/>
        <v>5459507</v>
      </c>
      <c r="AC27" s="542">
        <f t="shared" si="17"/>
        <v>7409442</v>
      </c>
      <c r="AD27" s="542">
        <f t="shared" si="17"/>
        <v>10024910</v>
      </c>
      <c r="AE27" s="542">
        <f t="shared" si="17"/>
        <v>24440099</v>
      </c>
      <c r="AF27" s="542">
        <f t="shared" si="17"/>
        <v>0</v>
      </c>
    </row>
    <row r="28" spans="1:33" ht="16" thickTop="1">
      <c r="A28" s="483"/>
      <c r="B28" s="481" t="s">
        <v>269</v>
      </c>
      <c r="C28" s="491">
        <f>SUM(U28:AF28)</f>
        <v>90831331</v>
      </c>
      <c r="D28" s="491">
        <f t="shared" si="14"/>
        <v>201084465</v>
      </c>
      <c r="E28" s="491">
        <v>6409834</v>
      </c>
      <c r="F28" s="491">
        <v>16252041</v>
      </c>
      <c r="G28" s="491">
        <v>24054373</v>
      </c>
      <c r="H28" s="491">
        <v>34418458</v>
      </c>
      <c r="I28" s="491">
        <v>31759465</v>
      </c>
      <c r="J28" s="491">
        <v>30732294</v>
      </c>
      <c r="K28" s="491">
        <v>22715329</v>
      </c>
      <c r="L28" s="491">
        <v>14000465</v>
      </c>
      <c r="M28" s="491">
        <v>8312398</v>
      </c>
      <c r="N28" s="491">
        <v>6514751</v>
      </c>
      <c r="O28" s="491">
        <v>5757349</v>
      </c>
      <c r="P28" s="491">
        <v>5525718</v>
      </c>
      <c r="Q28" s="491">
        <v>6773435</v>
      </c>
      <c r="R28" s="491">
        <v>10520430</v>
      </c>
      <c r="S28" s="491">
        <v>25535994</v>
      </c>
      <c r="T28" s="491">
        <v>28660002</v>
      </c>
      <c r="U28" s="491">
        <v>29883272</v>
      </c>
      <c r="V28" s="491">
        <v>21809394</v>
      </c>
      <c r="W28" s="491">
        <v>17454090</v>
      </c>
      <c r="X28" s="491">
        <v>14032685</v>
      </c>
      <c r="Y28" s="491">
        <v>7651890</v>
      </c>
      <c r="Z28" s="491"/>
      <c r="AA28" s="491"/>
      <c r="AB28" s="491"/>
      <c r="AC28" s="491"/>
      <c r="AD28" s="491"/>
      <c r="AE28" s="491"/>
      <c r="AF28" s="491"/>
      <c r="AG28" s="491"/>
    </row>
    <row r="29" spans="1:33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</row>
    <row r="30" spans="1:33">
      <c r="A30" s="484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D30" si="18">U30+1</f>
        <v>201502</v>
      </c>
      <c r="W30" s="484">
        <f t="shared" si="18"/>
        <v>201503</v>
      </c>
      <c r="X30" s="484">
        <f t="shared" si="18"/>
        <v>201504</v>
      </c>
      <c r="Y30" s="484">
        <f t="shared" si="18"/>
        <v>201505</v>
      </c>
      <c r="Z30" s="484">
        <f t="shared" si="18"/>
        <v>201506</v>
      </c>
      <c r="AA30" s="484">
        <f t="shared" si="18"/>
        <v>201507</v>
      </c>
      <c r="AB30" s="484">
        <f t="shared" si="18"/>
        <v>201508</v>
      </c>
      <c r="AC30" s="484">
        <f t="shared" si="18"/>
        <v>201509</v>
      </c>
      <c r="AD30" s="484">
        <f t="shared" si="18"/>
        <v>201510</v>
      </c>
      <c r="AE30" s="484">
        <f>AD30+1</f>
        <v>201511</v>
      </c>
      <c r="AF30" s="484">
        <f t="shared" ref="AF30" si="19">AE30+1</f>
        <v>201512</v>
      </c>
    </row>
    <row r="31" spans="1:33">
      <c r="A31" s="483"/>
      <c r="B31" s="481" t="s">
        <v>37</v>
      </c>
      <c r="E31" s="492">
        <v>3.3950000000000001E-2</v>
      </c>
      <c r="F31" s="492">
        <v>3.3950000000000001E-2</v>
      </c>
      <c r="G31" s="496" t="s">
        <v>270</v>
      </c>
      <c r="H31" s="496" t="s">
        <v>270</v>
      </c>
      <c r="I31" s="492">
        <v>-2.9299999999999999E-3</v>
      </c>
      <c r="J31" s="492">
        <v>-2.9299999999999999E-3</v>
      </c>
      <c r="K31" s="492">
        <v>-2.9299999999999999E-3</v>
      </c>
      <c r="L31" s="492">
        <v>-2.9299999999999999E-3</v>
      </c>
      <c r="M31" s="492">
        <v>-2.9299999999999999E-3</v>
      </c>
      <c r="N31" s="492">
        <v>-2.9299999999999999E-3</v>
      </c>
      <c r="O31" s="492">
        <v>-2.9299999999999999E-3</v>
      </c>
      <c r="P31" s="492">
        <v>-2.9299999999999999E-3</v>
      </c>
      <c r="Q31" s="492">
        <v>-2.9299999999999999E-3</v>
      </c>
      <c r="R31" s="492">
        <v>-2.9299999999999999E-3</v>
      </c>
      <c r="S31" s="496" t="s">
        <v>270</v>
      </c>
      <c r="T31" s="496" t="s">
        <v>270</v>
      </c>
      <c r="U31" s="492">
        <v>1.436E-2</v>
      </c>
      <c r="V31" s="492">
        <v>1.436E-2</v>
      </c>
      <c r="W31" s="492">
        <v>1.436E-2</v>
      </c>
      <c r="X31" s="492">
        <v>1.436E-2</v>
      </c>
      <c r="Y31" s="492">
        <v>1.436E-2</v>
      </c>
      <c r="Z31" s="492">
        <v>1.436E-2</v>
      </c>
      <c r="AA31" s="492">
        <v>1.436E-2</v>
      </c>
      <c r="AB31" s="492">
        <v>1.436E-2</v>
      </c>
      <c r="AC31" s="492">
        <v>1.436E-2</v>
      </c>
      <c r="AD31" s="492">
        <v>1.436E-2</v>
      </c>
      <c r="AE31" s="496" t="s">
        <v>270</v>
      </c>
      <c r="AF31" s="496" t="s">
        <v>270</v>
      </c>
    </row>
    <row r="32" spans="1:33">
      <c r="A32" s="483"/>
      <c r="B32" s="481" t="s">
        <v>38</v>
      </c>
      <c r="E32" s="492">
        <v>3.0599999999999999E-2</v>
      </c>
      <c r="F32" s="492">
        <v>3.0599999999999999E-2</v>
      </c>
      <c r="G32" s="496" t="s">
        <v>270</v>
      </c>
      <c r="H32" s="496" t="s">
        <v>270</v>
      </c>
      <c r="I32" s="492">
        <v>-5.5599999999999998E-3</v>
      </c>
      <c r="J32" s="492">
        <v>-5.5599999999999998E-3</v>
      </c>
      <c r="K32" s="492">
        <v>-5.5599999999999998E-3</v>
      </c>
      <c r="L32" s="492">
        <v>-5.5599999999999998E-3</v>
      </c>
      <c r="M32" s="492">
        <v>-5.5599999999999998E-3</v>
      </c>
      <c r="N32" s="492">
        <v>-5.5599999999999998E-3</v>
      </c>
      <c r="O32" s="492">
        <v>-5.5599999999999998E-3</v>
      </c>
      <c r="P32" s="492">
        <v>-5.5599999999999998E-3</v>
      </c>
      <c r="Q32" s="492">
        <v>-5.5599999999999998E-3</v>
      </c>
      <c r="R32" s="492">
        <v>-5.5599999999999998E-3</v>
      </c>
      <c r="S32" s="496" t="s">
        <v>270</v>
      </c>
      <c r="T32" s="496" t="s">
        <v>270</v>
      </c>
      <c r="U32" s="492">
        <v>8.0800000000000004E-3</v>
      </c>
      <c r="V32" s="492">
        <v>8.0800000000000004E-3</v>
      </c>
      <c r="W32" s="492">
        <v>8.0800000000000004E-3</v>
      </c>
      <c r="X32" s="492">
        <v>8.0800000000000004E-3</v>
      </c>
      <c r="Y32" s="492">
        <v>8.0800000000000004E-3</v>
      </c>
      <c r="Z32" s="492">
        <v>8.0800000000000004E-3</v>
      </c>
      <c r="AA32" s="492">
        <v>8.0800000000000004E-3</v>
      </c>
      <c r="AB32" s="492">
        <v>8.0800000000000004E-3</v>
      </c>
      <c r="AC32" s="492">
        <v>8.0800000000000004E-3</v>
      </c>
      <c r="AD32" s="492">
        <v>8.0800000000000004E-3</v>
      </c>
      <c r="AE32" s="496" t="s">
        <v>270</v>
      </c>
      <c r="AF32" s="496" t="s">
        <v>270</v>
      </c>
    </row>
    <row r="33" spans="1:39">
      <c r="A33" s="483"/>
      <c r="B33" s="481" t="s">
        <v>39</v>
      </c>
      <c r="E33" s="492"/>
      <c r="F33" s="492"/>
      <c r="G33" s="496" t="s">
        <v>270</v>
      </c>
      <c r="H33" s="496" t="s">
        <v>270</v>
      </c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 t="s">
        <v>270</v>
      </c>
      <c r="T33" s="496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6" t="s">
        <v>270</v>
      </c>
      <c r="AF33" s="496" t="s">
        <v>270</v>
      </c>
    </row>
    <row r="34" spans="1:39">
      <c r="A34" s="483"/>
      <c r="B34" s="481" t="s">
        <v>40</v>
      </c>
      <c r="E34" s="492">
        <v>2.998E-2</v>
      </c>
      <c r="F34" s="492">
        <v>2.998E-2</v>
      </c>
      <c r="G34" s="496" t="s">
        <v>270</v>
      </c>
      <c r="H34" s="496" t="s">
        <v>270</v>
      </c>
      <c r="I34" s="492">
        <v>-1.5820000000000001E-2</v>
      </c>
      <c r="J34" s="492">
        <v>-1.5820000000000001E-2</v>
      </c>
      <c r="K34" s="492">
        <v>-1.5820000000000001E-2</v>
      </c>
      <c r="L34" s="492">
        <v>-1.5820000000000001E-2</v>
      </c>
      <c r="M34" s="492">
        <v>-1.5820000000000001E-2</v>
      </c>
      <c r="N34" s="492">
        <v>-1.5820000000000001E-2</v>
      </c>
      <c r="O34" s="492">
        <v>-1.5820000000000001E-2</v>
      </c>
      <c r="P34" s="492">
        <v>-1.5820000000000001E-2</v>
      </c>
      <c r="Q34" s="492">
        <v>-1.5820000000000001E-2</v>
      </c>
      <c r="R34" s="492">
        <v>-1.5820000000000001E-2</v>
      </c>
      <c r="S34" s="496" t="s">
        <v>270</v>
      </c>
      <c r="T34" s="496" t="s">
        <v>270</v>
      </c>
      <c r="U34" s="492">
        <v>-1.0359999999999999E-2</v>
      </c>
      <c r="V34" s="492">
        <v>-1.0359999999999999E-2</v>
      </c>
      <c r="W34" s="492">
        <v>-1.0359999999999999E-2</v>
      </c>
      <c r="X34" s="492">
        <v>-1.0359999999999999E-2</v>
      </c>
      <c r="Y34" s="492">
        <v>-1.0359999999999999E-2</v>
      </c>
      <c r="Z34" s="492">
        <v>-1.0359999999999999E-2</v>
      </c>
      <c r="AA34" s="492">
        <v>-1.0359999999999999E-2</v>
      </c>
      <c r="AB34" s="492">
        <v>-1.0359999999999999E-2</v>
      </c>
      <c r="AC34" s="492">
        <v>-1.0359999999999999E-2</v>
      </c>
      <c r="AD34" s="492">
        <v>-1.0359999999999999E-2</v>
      </c>
      <c r="AE34" s="496" t="s">
        <v>270</v>
      </c>
      <c r="AF34" s="496" t="s">
        <v>270</v>
      </c>
    </row>
    <row r="35" spans="1:39">
      <c r="A35" s="483"/>
      <c r="B35" s="481" t="s">
        <v>41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</row>
    <row r="36" spans="1:39">
      <c r="A36" s="483"/>
      <c r="B36" s="481" t="s">
        <v>42</v>
      </c>
      <c r="E36" s="492">
        <v>5.7389999999999997E-2</v>
      </c>
      <c r="F36" s="492">
        <v>5.7389999999999997E-2</v>
      </c>
      <c r="G36" s="496" t="s">
        <v>270</v>
      </c>
      <c r="H36" s="496" t="s">
        <v>270</v>
      </c>
      <c r="I36" s="492">
        <v>3.0499999999999999E-2</v>
      </c>
      <c r="J36" s="492">
        <v>3.0499999999999999E-2</v>
      </c>
      <c r="K36" s="492">
        <v>3.0499999999999999E-2</v>
      </c>
      <c r="L36" s="492">
        <v>3.0499999999999999E-2</v>
      </c>
      <c r="M36" s="492">
        <v>3.0499999999999999E-2</v>
      </c>
      <c r="N36" s="492">
        <v>3.0499999999999999E-2</v>
      </c>
      <c r="O36" s="492">
        <v>3.0499999999999999E-2</v>
      </c>
      <c r="P36" s="492">
        <v>3.0499999999999999E-2</v>
      </c>
      <c r="Q36" s="492">
        <v>3.0499999999999999E-2</v>
      </c>
      <c r="R36" s="492">
        <v>3.0499999999999999E-2</v>
      </c>
      <c r="S36" s="496" t="s">
        <v>270</v>
      </c>
      <c r="T36" s="496" t="s">
        <v>270</v>
      </c>
      <c r="U36" s="492">
        <v>-2.3310000000000001E-2</v>
      </c>
      <c r="V36" s="492">
        <v>-2.3310000000000001E-2</v>
      </c>
      <c r="W36" s="492">
        <v>-2.3310000000000001E-2</v>
      </c>
      <c r="X36" s="492">
        <v>-2.3310000000000001E-2</v>
      </c>
      <c r="Y36" s="492">
        <v>-2.3310000000000001E-2</v>
      </c>
      <c r="Z36" s="492">
        <v>-2.3310000000000001E-2</v>
      </c>
      <c r="AA36" s="492">
        <v>-2.3310000000000001E-2</v>
      </c>
      <c r="AB36" s="492">
        <v>-2.3310000000000001E-2</v>
      </c>
      <c r="AC36" s="492">
        <v>-2.3310000000000001E-2</v>
      </c>
      <c r="AD36" s="492">
        <v>-2.3310000000000001E-2</v>
      </c>
      <c r="AE36" s="496" t="s">
        <v>270</v>
      </c>
      <c r="AF36" s="496" t="s">
        <v>270</v>
      </c>
    </row>
    <row r="37" spans="1:39" ht="16" thickBot="1">
      <c r="A37" s="483"/>
      <c r="B37" s="481" t="s">
        <v>43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H37" s="483"/>
      <c r="AI37" s="484"/>
      <c r="AJ37" s="483"/>
      <c r="AK37" s="483"/>
      <c r="AL37" s="483"/>
      <c r="AM37" s="483"/>
    </row>
    <row r="38" spans="1:39" ht="16" thickBot="1">
      <c r="A38" s="483"/>
      <c r="B38" s="481" t="s">
        <v>74</v>
      </c>
      <c r="E38" s="492">
        <v>0</v>
      </c>
      <c r="F38" s="492">
        <v>0</v>
      </c>
      <c r="G38" s="496" t="s">
        <v>270</v>
      </c>
      <c r="H38" s="496" t="s">
        <v>270</v>
      </c>
      <c r="I38" s="492">
        <v>0</v>
      </c>
      <c r="J38" s="492">
        <v>0</v>
      </c>
      <c r="K38" s="492">
        <v>0</v>
      </c>
      <c r="L38" s="492">
        <v>0</v>
      </c>
      <c r="M38" s="492">
        <v>0</v>
      </c>
      <c r="N38" s="492">
        <v>0</v>
      </c>
      <c r="O38" s="492">
        <v>0</v>
      </c>
      <c r="P38" s="492">
        <v>0</v>
      </c>
      <c r="Q38" s="492">
        <v>0</v>
      </c>
      <c r="R38" s="492">
        <v>0</v>
      </c>
      <c r="S38" s="496" t="s">
        <v>270</v>
      </c>
      <c r="T38" s="496" t="s">
        <v>270</v>
      </c>
      <c r="U38" s="492">
        <v>0</v>
      </c>
      <c r="V38" s="492">
        <v>0</v>
      </c>
      <c r="W38" s="492">
        <v>0</v>
      </c>
      <c r="X38" s="492">
        <v>0</v>
      </c>
      <c r="Y38" s="492">
        <v>0</v>
      </c>
      <c r="Z38" s="492">
        <v>0</v>
      </c>
      <c r="AA38" s="492">
        <v>0</v>
      </c>
      <c r="AB38" s="492">
        <v>0</v>
      </c>
      <c r="AC38" s="492">
        <v>0</v>
      </c>
      <c r="AD38" s="492">
        <v>0</v>
      </c>
      <c r="AE38" s="496" t="s">
        <v>270</v>
      </c>
      <c r="AF38" s="496" t="s">
        <v>270</v>
      </c>
      <c r="AH38" s="513">
        <f>AH4</f>
        <v>201505</v>
      </c>
      <c r="AI38" s="526"/>
      <c r="AJ38" s="514"/>
      <c r="AK38" s="514"/>
      <c r="AL38" s="514"/>
      <c r="AM38" s="515"/>
    </row>
    <row r="39" spans="1:39">
      <c r="A39" s="483" t="s">
        <v>293</v>
      </c>
      <c r="E39" s="492"/>
      <c r="F39" s="492"/>
      <c r="G39" s="496"/>
      <c r="H39" s="496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H39" s="497" t="s">
        <v>298</v>
      </c>
      <c r="AI39" s="527">
        <v>419600</v>
      </c>
      <c r="AJ39" s="498" t="s">
        <v>288</v>
      </c>
      <c r="AK39" s="498" t="s">
        <v>289</v>
      </c>
      <c r="AL39" s="519">
        <v>0</v>
      </c>
      <c r="AM39" s="520">
        <f>IF(SUMIF(E40:AF40,AH38,E44:AF44)&gt;0,SUMIF(E40:AF40,AH38,E44:AF44),0)</f>
        <v>0</v>
      </c>
    </row>
    <row r="40" spans="1:39" s="483" customFormat="1">
      <c r="A40" s="484">
        <v>191000</v>
      </c>
      <c r="B40" s="485" t="s">
        <v>256</v>
      </c>
      <c r="C40" s="486" t="s">
        <v>251</v>
      </c>
      <c r="D40" s="682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D40" si="20">U40+1</f>
        <v>201502</v>
      </c>
      <c r="W40" s="484">
        <f t="shared" si="20"/>
        <v>201503</v>
      </c>
      <c r="X40" s="484">
        <f t="shared" si="20"/>
        <v>201504</v>
      </c>
      <c r="Y40" s="484">
        <f t="shared" si="20"/>
        <v>201505</v>
      </c>
      <c r="Z40" s="484">
        <f t="shared" si="20"/>
        <v>201506</v>
      </c>
      <c r="AA40" s="484">
        <f t="shared" si="20"/>
        <v>201507</v>
      </c>
      <c r="AB40" s="484">
        <f t="shared" si="20"/>
        <v>201508</v>
      </c>
      <c r="AC40" s="484">
        <f t="shared" si="20"/>
        <v>201509</v>
      </c>
      <c r="AD40" s="484">
        <f t="shared" si="20"/>
        <v>201510</v>
      </c>
      <c r="AE40" s="484">
        <f>AD40+1</f>
        <v>201511</v>
      </c>
      <c r="AF40" s="484">
        <f t="shared" ref="AF40" si="21">AE40+1</f>
        <v>201512</v>
      </c>
      <c r="AH40" s="499" t="s">
        <v>299</v>
      </c>
      <c r="AI40" s="528">
        <v>431600</v>
      </c>
      <c r="AJ40" s="358" t="s">
        <v>288</v>
      </c>
      <c r="AK40" s="358" t="s">
        <v>289</v>
      </c>
      <c r="AL40" s="381">
        <f>IF(SUMIF(E40:AF40,AH38,E44:AF44)&lt;0,-SUMIF(E40:AF40,AH38,E44:AF44),0)</f>
        <v>1731.2022571239027</v>
      </c>
      <c r="AM40" s="500">
        <v>0</v>
      </c>
    </row>
    <row r="41" spans="1:39" s="483" customFormat="1">
      <c r="B41" s="485" t="s">
        <v>257</v>
      </c>
      <c r="C41" s="482"/>
      <c r="E41" s="488">
        <v>3.2500000000000001E-2</v>
      </c>
      <c r="F41" s="488">
        <v>3.2500000000000001E-2</v>
      </c>
      <c r="G41" s="488">
        <v>3.2500000000000001E-2</v>
      </c>
      <c r="H41" s="488">
        <v>3.2500000000000001E-2</v>
      </c>
      <c r="I41" s="488">
        <v>3.2500000000000001E-2</v>
      </c>
      <c r="J41" s="488">
        <v>3.2500000000000001E-2</v>
      </c>
      <c r="K41" s="488">
        <v>3.2500000000000001E-2</v>
      </c>
      <c r="L41" s="488">
        <v>3.2500000000000001E-2</v>
      </c>
      <c r="M41" s="488">
        <v>3.2500000000000001E-2</v>
      </c>
      <c r="N41" s="488">
        <v>3.2500000000000001E-2</v>
      </c>
      <c r="O41" s="488">
        <v>3.2500000000000001E-2</v>
      </c>
      <c r="P41" s="488">
        <v>3.2500000000000001E-2</v>
      </c>
      <c r="Q41" s="488">
        <v>3.2500000000000001E-2</v>
      </c>
      <c r="R41" s="488">
        <v>3.2500000000000001E-2</v>
      </c>
      <c r="S41" s="488">
        <v>3.2500000000000001E-2</v>
      </c>
      <c r="T41" s="488">
        <v>3.2500000000000001E-2</v>
      </c>
      <c r="U41" s="488">
        <v>3.2500000000000001E-2</v>
      </c>
      <c r="V41" s="488">
        <v>3.2500000000000001E-2</v>
      </c>
      <c r="W41" s="488">
        <v>3.2500000000000001E-2</v>
      </c>
      <c r="X41" s="488">
        <v>3.2500000000000001E-2</v>
      </c>
      <c r="Y41" s="488">
        <v>3.2500000000000001E-2</v>
      </c>
      <c r="Z41" s="488">
        <v>3.2500000000000001E-2</v>
      </c>
      <c r="AA41" s="488">
        <v>3.2500000000000001E-2</v>
      </c>
      <c r="AB41" s="488">
        <v>3.2500000000000001E-2</v>
      </c>
      <c r="AC41" s="488">
        <v>3.2500000000000001E-2</v>
      </c>
      <c r="AD41" s="488">
        <v>3.2500000000000001E-2</v>
      </c>
      <c r="AE41" s="488">
        <v>3.2500000000000001E-2</v>
      </c>
      <c r="AF41" s="488">
        <v>3.2500000000000001E-2</v>
      </c>
      <c r="AH41" s="499" t="s">
        <v>300</v>
      </c>
      <c r="AI41" s="528">
        <v>191000</v>
      </c>
      <c r="AJ41" s="358" t="s">
        <v>288</v>
      </c>
      <c r="AK41" s="358" t="s">
        <v>289</v>
      </c>
      <c r="AL41" s="381">
        <f>IF((SUMIF(E40:AF40,AH38,E43:AF43)+SUMIF(E40:AF40,AH38,E44:AF44))&gt;0,(SUMIF(E40:AF40,AH38,E43:AF43)+SUMIF(E40:AF40,AH38,E44:AF44)),0)</f>
        <v>58392.9991028761</v>
      </c>
      <c r="AM41" s="500">
        <f>IF((SUMIF(E40:AF40,AH38,E43:AF43)+SUMIF(E40:AF40,AH38,E44:AF44))&lt;0,-(SUMIF(E40:AF40,AH38,E43:AF43)+SUMIF(E40:AF40,AH38,E44:AF44)),0)</f>
        <v>0</v>
      </c>
    </row>
    <row r="42" spans="1:39">
      <c r="A42" s="493"/>
      <c r="B42" s="481" t="s">
        <v>253</v>
      </c>
      <c r="E42" s="482">
        <v>-194854.27149590768</v>
      </c>
      <c r="F42" s="482">
        <f>E47</f>
        <v>-46035.360287444513</v>
      </c>
      <c r="G42" s="482">
        <f>F47</f>
        <v>404885.58467682183</v>
      </c>
      <c r="H42" s="482">
        <f>G47</f>
        <v>1486369.5928734979</v>
      </c>
      <c r="I42" s="482">
        <v>1388326.8065187801</v>
      </c>
      <c r="J42" s="482">
        <v>1256080.2312424269</v>
      </c>
      <c r="K42" s="482">
        <v>1153258.7731084346</v>
      </c>
      <c r="L42" s="482">
        <v>1078717.1045833002</v>
      </c>
      <c r="M42" s="482">
        <v>1033496.2426010612</v>
      </c>
      <c r="N42" s="482">
        <v>1007906.7387058339</v>
      </c>
      <c r="O42" s="482">
        <v>987738.42680743511</v>
      </c>
      <c r="P42" s="482">
        <v>972066.68936231779</v>
      </c>
      <c r="Q42" s="482">
        <v>955827.4742971377</v>
      </c>
      <c r="R42" s="482">
        <v>935484.97275235492</v>
      </c>
      <c r="S42" s="482">
        <v>900376.74388303224</v>
      </c>
      <c r="T42" s="482">
        <v>-1984640.7833043733</v>
      </c>
      <c r="U42" s="482">
        <v>-1530288.7769039478</v>
      </c>
      <c r="V42" s="482">
        <f>U47</f>
        <v>-1203520.6941716045</v>
      </c>
      <c r="W42" s="482">
        <f t="shared" ref="W42:AD42" si="22">V47</f>
        <v>-978605.01769356499</v>
      </c>
      <c r="X42" s="482">
        <f t="shared" si="22"/>
        <v>-801445.32791263924</v>
      </c>
      <c r="Y42" s="482">
        <f t="shared" si="22"/>
        <v>-669275.24177190254</v>
      </c>
      <c r="Z42" s="482">
        <f t="shared" si="22"/>
        <v>-610882.24266902648</v>
      </c>
      <c r="AA42" s="482">
        <f t="shared" si="22"/>
        <v>-574943.04011245095</v>
      </c>
      <c r="AB42" s="482">
        <f t="shared" si="22"/>
        <v>-537511.27700320142</v>
      </c>
      <c r="AC42" s="482">
        <f t="shared" si="22"/>
        <v>-503286.03358886426</v>
      </c>
      <c r="AD42" s="482">
        <f t="shared" si="22"/>
        <v>-446057.56644618412</v>
      </c>
      <c r="AE42" s="482">
        <f>AD47</f>
        <v>-360324.16779451753</v>
      </c>
      <c r="AF42" s="482">
        <f t="shared" ref="AF42" si="23">AE47</f>
        <v>-361300.04574896104</v>
      </c>
      <c r="AH42" s="499" t="s">
        <v>301</v>
      </c>
      <c r="AI42" s="528">
        <v>805110</v>
      </c>
      <c r="AJ42" s="358" t="s">
        <v>288</v>
      </c>
      <c r="AK42" s="358" t="s">
        <v>289</v>
      </c>
      <c r="AL42" s="381">
        <f>IF((SUMIF(E40:AF40,AH38,E43:AF43))&lt;0,-(SUMIF(E40:AF40,AH38,E43:AF43)),0)</f>
        <v>0</v>
      </c>
      <c r="AM42" s="500">
        <f>IF((SUMIF(E40:AF40,AH38,E43:AF43))&gt;0,(SUMIF(E40:AF40,AH38,E43:AF43)),0)</f>
        <v>60124.201359999999</v>
      </c>
    </row>
    <row r="43" spans="1:39">
      <c r="B43" s="481" t="s">
        <v>23</v>
      </c>
      <c r="C43" s="482">
        <f>SUM(U43:AF43)</f>
        <v>1189629.81828</v>
      </c>
      <c r="D43" s="494">
        <f>SUM(G43:R43)</f>
        <v>-672918.74727999989</v>
      </c>
      <c r="E43" s="482">
        <f>SUMPRODUCT(E19:E26,E31:E38)</f>
        <v>149144.67478</v>
      </c>
      <c r="F43" s="482">
        <f>SUMPRODUCT(F19:F26,F31:F38)</f>
        <v>450435.65911000001</v>
      </c>
      <c r="G43" s="482">
        <v>-82277.84</v>
      </c>
      <c r="H43" s="482">
        <v>-101930.34</v>
      </c>
      <c r="I43" s="482">
        <v>-108116.73896</v>
      </c>
      <c r="J43" s="482">
        <v>-106079.69250999999</v>
      </c>
      <c r="K43" s="482">
        <v>-77560.048470000009</v>
      </c>
      <c r="L43" s="482">
        <v>-48077.28282</v>
      </c>
      <c r="M43" s="482">
        <v>-28350.165369999999</v>
      </c>
      <c r="N43" s="482">
        <v>-22867.09346</v>
      </c>
      <c r="O43" s="482">
        <v>-18322.051239999997</v>
      </c>
      <c r="P43" s="482">
        <v>-18846.37455</v>
      </c>
      <c r="Q43" s="482">
        <v>-22900.190279999999</v>
      </c>
      <c r="R43" s="482">
        <v>-37590.929620000003</v>
      </c>
      <c r="S43" s="557">
        <v>257672.26615000004</v>
      </c>
      <c r="T43" s="557">
        <v>312766.45</v>
      </c>
      <c r="U43" s="482">
        <v>330465.11</v>
      </c>
      <c r="V43" s="482">
        <f>SUMPRODUCT(V19:V26,V31:V38)</f>
        <v>227866.64228000003</v>
      </c>
      <c r="W43" s="482">
        <f t="shared" ref="W43:X43" si="24">SUMPRODUCT(W19:W26,W31:W38)</f>
        <v>179566.91484000001</v>
      </c>
      <c r="X43" s="482">
        <f t="shared" si="24"/>
        <v>134158.99359999999</v>
      </c>
      <c r="Y43" s="482">
        <f>SUMPRODUCT(Y19:Y26,Y31:Y38)</f>
        <v>60124.201359999999</v>
      </c>
      <c r="Z43" s="482">
        <f t="shared" ref="Z43:AD43" si="25">SUMPRODUCT(Z19:Z26,Z31:Z38)</f>
        <v>37542.836040000002</v>
      </c>
      <c r="AA43" s="482">
        <f t="shared" si="25"/>
        <v>38936.174440000003</v>
      </c>
      <c r="AB43" s="482">
        <f t="shared" si="25"/>
        <v>35632.750439999996</v>
      </c>
      <c r="AC43" s="482">
        <f t="shared" si="25"/>
        <v>58512.29808</v>
      </c>
      <c r="AD43" s="482">
        <f t="shared" si="25"/>
        <v>86823.897200000007</v>
      </c>
      <c r="AE43" s="563"/>
      <c r="AF43" s="563"/>
      <c r="AH43" s="153" t="s">
        <v>156</v>
      </c>
      <c r="AI43" s="209">
        <f>AI41</f>
        <v>191000</v>
      </c>
      <c r="AJ43" s="209" t="str">
        <f t="shared" ref="AJ43:AK44" si="26">AJ41</f>
        <v>GD</v>
      </c>
      <c r="AK43" s="209" t="str">
        <f t="shared" si="26"/>
        <v>WA</v>
      </c>
      <c r="AL43" s="472">
        <v>0</v>
      </c>
      <c r="AM43" s="462">
        <v>0</v>
      </c>
    </row>
    <row r="44" spans="1:39" ht="16" thickBot="1">
      <c r="B44" s="481" t="s">
        <v>4</v>
      </c>
      <c r="C44" s="482">
        <f t="shared" ref="C44:C46" si="27">SUM(U44:AF44)</f>
        <v>-21619.608082249844</v>
      </c>
      <c r="D44" s="494">
        <f>SUM(G44:R44)</f>
        <v>36498.65781942301</v>
      </c>
      <c r="E44" s="482">
        <f>(E42*(E41/12))+((E43/2)*(E41/12))</f>
        <v>-325.7635715368333</v>
      </c>
      <c r="F44" s="482">
        <f>(F42*(F41/12))+((F43/2)*(F41/12))</f>
        <v>485.28585426629616</v>
      </c>
      <c r="G44" s="482">
        <f>((G42+G45)*(G41/12))+(((G43+G46)/2)*(G41/12))</f>
        <v>4107.1195298889406</v>
      </c>
      <c r="H44" s="489">
        <f>(H42*(H41/12))+((H43/2)*(H41/12))</f>
        <v>3887.5536452823899</v>
      </c>
      <c r="I44" s="489">
        <v>3613.643683646696</v>
      </c>
      <c r="J44" s="489">
        <v>3258.2343760076146</v>
      </c>
      <c r="K44" s="489">
        <v>3018.3799448655523</v>
      </c>
      <c r="L44" s="489">
        <v>2856.4208377610212</v>
      </c>
      <c r="M44" s="489">
        <v>2760.6614747726658</v>
      </c>
      <c r="N44" s="489">
        <v>2698.7815616012172</v>
      </c>
      <c r="O44" s="489">
        <v>2650.3137948826366</v>
      </c>
      <c r="P44" s="489">
        <v>2607.1594848198192</v>
      </c>
      <c r="Q44" s="489">
        <v>2557.688735217248</v>
      </c>
      <c r="R44" s="489">
        <v>2482.7007506772115</v>
      </c>
      <c r="S44" s="559">
        <v>-5609.7233374053303</v>
      </c>
      <c r="T44" s="560">
        <v>-4753.3635995743443</v>
      </c>
      <c r="U44" s="489">
        <v>-3697.0272676565255</v>
      </c>
      <c r="V44" s="489">
        <f t="shared" ref="V44:AD44" si="28">((V42*(V41/12))+((V43/2)*(V41/12)))</f>
        <v>-2950.9658019605959</v>
      </c>
      <c r="W44" s="489">
        <f>((W42*(W41/12))+((W43/2)*(W41/12)))</f>
        <v>-2407.2250590742387</v>
      </c>
      <c r="X44" s="489">
        <f t="shared" si="28"/>
        <v>-1988.9074592633983</v>
      </c>
      <c r="Y44" s="489">
        <f t="shared" si="28"/>
        <v>-1731.2022571239027</v>
      </c>
      <c r="Z44" s="489">
        <f t="shared" si="28"/>
        <v>-1603.6334834244467</v>
      </c>
      <c r="AA44" s="489">
        <f t="shared" si="28"/>
        <v>-1504.4113307503878</v>
      </c>
      <c r="AB44" s="489">
        <f t="shared" si="28"/>
        <v>-1407.5070256628373</v>
      </c>
      <c r="AC44" s="489">
        <f t="shared" si="28"/>
        <v>-1283.8309373198406</v>
      </c>
      <c r="AD44" s="489">
        <f t="shared" si="28"/>
        <v>-1090.4985483334153</v>
      </c>
      <c r="AE44" s="560">
        <f>((AE42+AE45)*(AE41/12))+(((AE43+AE46)/2)*(AE41/12))</f>
        <v>-975.87795444348501</v>
      </c>
      <c r="AF44" s="560">
        <f>((AF42+AF45)*(AF41/12))+(((AF43+AF46)/2)*(AF41/12))</f>
        <v>-978.5209572367695</v>
      </c>
      <c r="AH44" s="154" t="str">
        <f>AH43</f>
        <v>Large Customer Refund</v>
      </c>
      <c r="AI44" s="561">
        <f>AI42</f>
        <v>805110</v>
      </c>
      <c r="AJ44" s="561" t="str">
        <f t="shared" si="26"/>
        <v>GD</v>
      </c>
      <c r="AK44" s="561" t="str">
        <f t="shared" si="26"/>
        <v>WA</v>
      </c>
      <c r="AL44" s="464">
        <f>AM43</f>
        <v>0</v>
      </c>
      <c r="AM44" s="473">
        <f>AL43</f>
        <v>0</v>
      </c>
    </row>
    <row r="45" spans="1:39" ht="16" thickBot="1">
      <c r="B45" s="481" t="s">
        <v>259</v>
      </c>
      <c r="C45" s="482">
        <f t="shared" si="27"/>
        <v>0</v>
      </c>
      <c r="E45" s="482">
        <v>0</v>
      </c>
      <c r="F45" s="482">
        <v>0</v>
      </c>
      <c r="G45" s="482">
        <v>1145801.7486667871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-3063910.6100000003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63">
        <f>-AE11-AE10-AE9</f>
        <v>0</v>
      </c>
      <c r="AF45" s="563">
        <v>0</v>
      </c>
      <c r="AH45" s="516"/>
      <c r="AI45" s="530"/>
      <c r="AJ45" s="517"/>
      <c r="AK45" s="517"/>
      <c r="AL45" s="517" t="s">
        <v>159</v>
      </c>
      <c r="AM45" s="518">
        <f>SUM(AL39:AL44)-SUM(AM39:AM44)</f>
        <v>0</v>
      </c>
    </row>
    <row r="46" spans="1:39">
      <c r="B46" s="481" t="s">
        <v>148</v>
      </c>
      <c r="C46" s="482">
        <f t="shared" si="27"/>
        <v>0</v>
      </c>
      <c r="E46" s="482">
        <v>0</v>
      </c>
      <c r="F46" s="482">
        <v>0</v>
      </c>
      <c r="G46" s="482">
        <v>13852.98</v>
      </c>
      <c r="H46" s="482">
        <v>0</v>
      </c>
      <c r="I46" s="538">
        <v>-27743.479999999981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-73169.460000000006</v>
      </c>
      <c r="T46" s="557">
        <v>146338.92000000001</v>
      </c>
      <c r="U46" s="563">
        <v>0</v>
      </c>
      <c r="V46" s="482">
        <v>0</v>
      </c>
      <c r="W46" s="482">
        <v>0</v>
      </c>
      <c r="X46" s="482">
        <v>0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63"/>
      <c r="AF46" s="563">
        <f>-AE46*2</f>
        <v>0</v>
      </c>
    </row>
    <row r="47" spans="1:39" ht="16" thickBot="1">
      <c r="B47" s="481" t="s">
        <v>56</v>
      </c>
      <c r="C47" s="541">
        <f>SUM(C43:C46)</f>
        <v>1168010.2101977502</v>
      </c>
      <c r="D47" s="541"/>
      <c r="E47" s="541">
        <f>SUM(E42:E46)</f>
        <v>-46035.360287444513</v>
      </c>
      <c r="F47" s="541">
        <f t="shared" ref="F47:H47" si="29">SUM(F42:F46)</f>
        <v>404885.58467682183</v>
      </c>
      <c r="G47" s="541">
        <f t="shared" si="29"/>
        <v>1486369.5928734979</v>
      </c>
      <c r="H47" s="541">
        <f t="shared" si="29"/>
        <v>1388326.8065187801</v>
      </c>
      <c r="I47" s="541">
        <v>1256080.2312424269</v>
      </c>
      <c r="J47" s="541">
        <v>1153258.7731084346</v>
      </c>
      <c r="K47" s="541">
        <v>1078717.1045833002</v>
      </c>
      <c r="L47" s="541">
        <v>1033496.2426010612</v>
      </c>
      <c r="M47" s="541">
        <v>1007906.7387058339</v>
      </c>
      <c r="N47" s="541">
        <v>987738.42680743511</v>
      </c>
      <c r="O47" s="541">
        <v>972066.68936231779</v>
      </c>
      <c r="P47" s="541">
        <v>955827.4742971377</v>
      </c>
      <c r="Q47" s="541">
        <v>935484.97275235492</v>
      </c>
      <c r="R47" s="541">
        <v>900376.74388303224</v>
      </c>
      <c r="S47" s="541">
        <v>-1984640.7833043733</v>
      </c>
      <c r="T47" s="541">
        <v>-1530288.7769039478</v>
      </c>
      <c r="U47" s="541">
        <v>-1203520.6941716045</v>
      </c>
      <c r="V47" s="541">
        <f t="shared" ref="V47:AF47" si="30">SUM(V42:V46)</f>
        <v>-978605.01769356499</v>
      </c>
      <c r="W47" s="541">
        <f t="shared" si="30"/>
        <v>-801445.32791263924</v>
      </c>
      <c r="X47" s="541">
        <f t="shared" si="30"/>
        <v>-669275.24177190254</v>
      </c>
      <c r="Y47" s="541">
        <f t="shared" si="30"/>
        <v>-610882.24266902648</v>
      </c>
      <c r="Z47" s="541">
        <f t="shared" si="30"/>
        <v>-574943.04011245095</v>
      </c>
      <c r="AA47" s="541">
        <f t="shared" si="30"/>
        <v>-537511.27700320142</v>
      </c>
      <c r="AB47" s="541">
        <f t="shared" si="30"/>
        <v>-503286.03358886426</v>
      </c>
      <c r="AC47" s="541">
        <f t="shared" si="30"/>
        <v>-446057.56644618412</v>
      </c>
      <c r="AD47" s="541">
        <f t="shared" si="30"/>
        <v>-360324.16779451753</v>
      </c>
      <c r="AE47" s="541">
        <f t="shared" si="30"/>
        <v>-361300.04574896104</v>
      </c>
      <c r="AF47" s="541">
        <f t="shared" si="30"/>
        <v>-362278.5667061978</v>
      </c>
    </row>
    <row r="48" spans="1:39" ht="16" thickTop="1">
      <c r="B48" s="481" t="s">
        <v>260</v>
      </c>
      <c r="E48" s="482" t="e">
        <f ca="1">_xll.Get_Balance(E40,"YTD","USD","Total","A","","001",$A$40,"GD","WA","DL")</f>
        <v>#NAME?</v>
      </c>
      <c r="F48" s="482" t="e">
        <f ca="1">_xll.Get_Balance(F40,"YTD","USD","Total","A","","001",$A$40,"GD","WA","DL")</f>
        <v>#NAME?</v>
      </c>
      <c r="G48" s="482" t="e">
        <f ca="1">_xll.Get_Balance(G40,"YTD","USD","Total","A","","001",$A$40,"GD","WA","DL")</f>
        <v>#NAME?</v>
      </c>
      <c r="H48" s="482" t="e">
        <f ca="1">_xll.Get_Balance(H40,"YTD","USD","Total","A","","001",$A$40,"GD","WA","DL")</f>
        <v>#NAME?</v>
      </c>
      <c r="I48" s="482">
        <v>1256080.45</v>
      </c>
      <c r="J48" s="482">
        <v>1153258.99</v>
      </c>
      <c r="K48" s="482">
        <v>1078717.32</v>
      </c>
      <c r="L48" s="482">
        <v>1033496.46</v>
      </c>
      <c r="M48" s="482">
        <v>1007906.96</v>
      </c>
      <c r="N48" s="482">
        <v>987738.65</v>
      </c>
      <c r="O48" s="482">
        <v>972066.91</v>
      </c>
      <c r="P48" s="482">
        <v>955827.69</v>
      </c>
      <c r="Q48" s="482">
        <v>935485.19</v>
      </c>
      <c r="R48" s="482">
        <v>900376.96</v>
      </c>
      <c r="S48" s="482">
        <v>-1984640.57</v>
      </c>
      <c r="T48" s="482">
        <v>-1530288.56</v>
      </c>
      <c r="U48" s="482">
        <v>-1203520.48</v>
      </c>
      <c r="V48" s="482" t="e">
        <f ca="1">_xll.Get_Balance(V40,"YTD","USD","Total","A","","001",$A$40,"GD","WA","DL")</f>
        <v>#NAME?</v>
      </c>
      <c r="W48" s="482" t="e">
        <f ca="1">_xll.Get_Balance(W40,"YTD","USD","Total","A","","001",$A$40,"GD","WA","DL")</f>
        <v>#NAME?</v>
      </c>
      <c r="X48" s="482" t="e">
        <f ca="1">_xll.Get_Balance(X40,"YTD","USD","Total","A","","001",$A$40,"GD","WA","DL")</f>
        <v>#NAME?</v>
      </c>
      <c r="Y48" s="482" t="e">
        <f ca="1">_xll.Get_Balance(Y40,"YTD","USD","Total","A","","001",$A$40,"GD","WA","DL")</f>
        <v>#NAME?</v>
      </c>
      <c r="Z48" s="482" t="e">
        <f ca="1">_xll.Get_Balance(Z40,"YTD","USD","Total","A","","001",$A$40,"GD","WA","DL")</f>
        <v>#NAME?</v>
      </c>
      <c r="AA48" s="482" t="e">
        <f ca="1">_xll.Get_Balance(AA40,"YTD","USD","Total","A","","001",$A$40,"GD","WA","DL")</f>
        <v>#NAME?</v>
      </c>
      <c r="AB48" s="482" t="e">
        <f ca="1">_xll.Get_Balance(AB40,"YTD","USD","Total","A","","001",$A$40,"GD","WA","DL")</f>
        <v>#NAME?</v>
      </c>
      <c r="AC48" s="482" t="e">
        <f ca="1">_xll.Get_Balance(AC40,"YTD","USD","Total","A","","001",$A$40,"GD","WA","DL")</f>
        <v>#NAME?</v>
      </c>
      <c r="AD48" s="482" t="e">
        <f ca="1">_xll.Get_Balance(AD40,"YTD","USD","Total","A","","001",$A$40,"GD","WA","DL")</f>
        <v>#NAME?</v>
      </c>
      <c r="AE48" s="482" t="e">
        <f ca="1">_xll.Get_Balance(AE40,"YTD","USD","Total","A","","001",$A$40,"GD","WA","DL")</f>
        <v>#NAME?</v>
      </c>
      <c r="AF48" s="482" t="e">
        <f ca="1">_xll.Get_Balance(AF40,"YTD","USD","Total","A","","001",$A$40,"GD","WA","DL")</f>
        <v>#NAME?</v>
      </c>
      <c r="AL48" s="563"/>
    </row>
    <row r="49" spans="1:38">
      <c r="B49" s="481" t="s">
        <v>245</v>
      </c>
      <c r="E49" s="482" t="e">
        <f t="shared" ref="E49:H49" ca="1" si="31">E47-E48</f>
        <v>#NAME?</v>
      </c>
      <c r="F49" s="482" t="e">
        <f t="shared" ca="1" si="31"/>
        <v>#NAME?</v>
      </c>
      <c r="G49" s="482" t="e">
        <f t="shared" ca="1" si="31"/>
        <v>#NAME?</v>
      </c>
      <c r="H49" s="482" t="e">
        <f t="shared" ca="1" si="31"/>
        <v>#NAME?</v>
      </c>
      <c r="I49" s="482">
        <v>-0.21875757304951549</v>
      </c>
      <c r="J49" s="482">
        <v>-0.21689156536012888</v>
      </c>
      <c r="K49" s="482">
        <v>-0.21541669988073409</v>
      </c>
      <c r="L49" s="482">
        <v>-0.2173989387229085</v>
      </c>
      <c r="M49" s="482">
        <v>-0.22129416605457664</v>
      </c>
      <c r="N49" s="482">
        <v>-0.22319256491027772</v>
      </c>
      <c r="O49" s="482">
        <v>-0.22063768224325031</v>
      </c>
      <c r="P49" s="482">
        <v>-0.21570286224596202</v>
      </c>
      <c r="Q49" s="482">
        <v>-0.21724764502141625</v>
      </c>
      <c r="R49" s="482">
        <v>-0.21611696772743016</v>
      </c>
      <c r="S49" s="482">
        <v>-0.21330437320284545</v>
      </c>
      <c r="T49" s="482">
        <v>-0.21690394775941968</v>
      </c>
      <c r="U49" s="482">
        <v>-0.21417160448618233</v>
      </c>
      <c r="V49" s="482" t="e">
        <f t="shared" ref="V49:AF49" ca="1" si="32">V47-V48</f>
        <v>#NAME?</v>
      </c>
      <c r="W49" s="482" t="e">
        <f t="shared" ca="1" si="32"/>
        <v>#NAME?</v>
      </c>
      <c r="X49" s="482" t="e">
        <f t="shared" ca="1" si="32"/>
        <v>#NAME?</v>
      </c>
      <c r="Y49" s="482" t="e">
        <f t="shared" ca="1" si="32"/>
        <v>#NAME?</v>
      </c>
      <c r="Z49" s="482" t="e">
        <f t="shared" ca="1" si="32"/>
        <v>#NAME?</v>
      </c>
      <c r="AA49" s="482" t="e">
        <f t="shared" ca="1" si="32"/>
        <v>#NAME?</v>
      </c>
      <c r="AB49" s="482" t="e">
        <f t="shared" ca="1" si="32"/>
        <v>#NAME?</v>
      </c>
      <c r="AC49" s="482" t="e">
        <f t="shared" ca="1" si="32"/>
        <v>#NAME?</v>
      </c>
      <c r="AD49" s="482" t="e">
        <f t="shared" ca="1" si="32"/>
        <v>#NAME?</v>
      </c>
      <c r="AE49" s="482" t="e">
        <f t="shared" ca="1" si="32"/>
        <v>#NAME?</v>
      </c>
      <c r="AF49" s="482" t="e">
        <f t="shared" ca="1" si="32"/>
        <v>#NAME?</v>
      </c>
    </row>
    <row r="51" spans="1:38">
      <c r="A51" s="483" t="s">
        <v>292</v>
      </c>
      <c r="E51" s="535"/>
      <c r="F51" s="535"/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5"/>
      <c r="S51" s="535"/>
      <c r="T51" s="535"/>
      <c r="U51" s="535"/>
      <c r="V51" s="535"/>
      <c r="W51" s="535"/>
      <c r="X51" s="535"/>
      <c r="Y51" s="535"/>
      <c r="Z51" s="535"/>
      <c r="AA51" s="535"/>
      <c r="AB51" s="535"/>
      <c r="AC51" s="535"/>
      <c r="AD51" s="535"/>
      <c r="AE51" s="535"/>
      <c r="AF51" s="535"/>
    </row>
    <row r="52" spans="1:38">
      <c r="A52" s="484">
        <v>191025</v>
      </c>
      <c r="B52" s="485" t="s">
        <v>256</v>
      </c>
      <c r="C52" s="486" t="s">
        <v>251</v>
      </c>
      <c r="D52" s="486" t="s">
        <v>252</v>
      </c>
      <c r="E52" s="484">
        <v>201309</v>
      </c>
      <c r="F52" s="484">
        <f>E52+1</f>
        <v>201310</v>
      </c>
      <c r="G52" s="484">
        <f>F52+1</f>
        <v>201311</v>
      </c>
      <c r="H52" s="484">
        <f>G52+1</f>
        <v>201312</v>
      </c>
      <c r="I52" s="484">
        <v>201401</v>
      </c>
      <c r="J52" s="484">
        <v>201402</v>
      </c>
      <c r="K52" s="484">
        <v>201403</v>
      </c>
      <c r="L52" s="484">
        <v>201404</v>
      </c>
      <c r="M52" s="484">
        <v>201405</v>
      </c>
      <c r="N52" s="484">
        <v>201406</v>
      </c>
      <c r="O52" s="484">
        <v>201407</v>
      </c>
      <c r="P52" s="484">
        <v>201408</v>
      </c>
      <c r="Q52" s="484">
        <v>201409</v>
      </c>
      <c r="R52" s="484">
        <v>201410</v>
      </c>
      <c r="S52" s="484">
        <v>201411</v>
      </c>
      <c r="T52" s="484">
        <v>201412</v>
      </c>
      <c r="U52" s="484">
        <v>201501</v>
      </c>
      <c r="V52" s="484">
        <f t="shared" ref="V52:AD52" si="33">U52+1</f>
        <v>201502</v>
      </c>
      <c r="W52" s="484">
        <f t="shared" si="33"/>
        <v>201503</v>
      </c>
      <c r="X52" s="484">
        <f t="shared" si="33"/>
        <v>201504</v>
      </c>
      <c r="Y52" s="484">
        <f t="shared" si="33"/>
        <v>201505</v>
      </c>
      <c r="Z52" s="484">
        <f t="shared" si="33"/>
        <v>201506</v>
      </c>
      <c r="AA52" s="484">
        <f t="shared" si="33"/>
        <v>201507</v>
      </c>
      <c r="AB52" s="484">
        <f t="shared" si="33"/>
        <v>201508</v>
      </c>
      <c r="AC52" s="484">
        <f t="shared" si="33"/>
        <v>201509</v>
      </c>
      <c r="AD52" s="484">
        <f t="shared" si="33"/>
        <v>201510</v>
      </c>
      <c r="AE52" s="484">
        <f>AD52+1</f>
        <v>201511</v>
      </c>
      <c r="AF52" s="484">
        <f t="shared" ref="AF52" si="34">AE52+1</f>
        <v>201512</v>
      </c>
      <c r="AL52" s="563"/>
    </row>
    <row r="53" spans="1:38">
      <c r="A53" s="483"/>
      <c r="B53" s="481" t="s">
        <v>37</v>
      </c>
      <c r="C53" s="491">
        <f>SUM(U53:AF53)</f>
        <v>83964548</v>
      </c>
      <c r="D53" s="491">
        <f t="shared" ref="D53:D62" si="35">SUM(G53:R53)</f>
        <v>118507804</v>
      </c>
      <c r="E53" s="491">
        <v>2647538</v>
      </c>
      <c r="F53" s="491">
        <v>9244353</v>
      </c>
      <c r="G53" s="491">
        <v>15070678</v>
      </c>
      <c r="H53" s="491">
        <v>22636008</v>
      </c>
      <c r="I53" s="543">
        <v>20682450</v>
      </c>
      <c r="J53" s="543">
        <v>20184373</v>
      </c>
      <c r="K53" s="543">
        <v>14096743</v>
      </c>
      <c r="L53" s="543">
        <v>7776328</v>
      </c>
      <c r="M53" s="543">
        <v>3691303</v>
      </c>
      <c r="N53" s="543">
        <v>2545780</v>
      </c>
      <c r="O53" s="543">
        <v>2095088</v>
      </c>
      <c r="P53" s="543">
        <v>2047777</v>
      </c>
      <c r="Q53" s="543">
        <v>2727612</v>
      </c>
      <c r="R53" s="543">
        <v>4953664</v>
      </c>
      <c r="S53" s="543">
        <v>15823016</v>
      </c>
      <c r="T53" s="543">
        <v>19056609</v>
      </c>
      <c r="U53" s="543">
        <v>19909674</v>
      </c>
      <c r="V53" s="543">
        <f>Feb!$G23</f>
        <v>13011547</v>
      </c>
      <c r="W53" s="543">
        <f>Mar!$G23</f>
        <v>10479005</v>
      </c>
      <c r="X53" s="543">
        <f>Apr!$G23</f>
        <v>7714478</v>
      </c>
      <c r="Y53" s="543">
        <f>May!$G23</f>
        <v>3297360</v>
      </c>
      <c r="Z53" s="543">
        <f>Jun!$G23</f>
        <v>1968489</v>
      </c>
      <c r="AA53" s="543">
        <f>Jul!$G23</f>
        <v>2145139</v>
      </c>
      <c r="AB53" s="543">
        <f>Aug!$G23</f>
        <v>1956853</v>
      </c>
      <c r="AC53" s="543">
        <f>Sep!$G23</f>
        <v>3273457</v>
      </c>
      <c r="AD53" s="543">
        <f>Oct!$G23</f>
        <v>4833518</v>
      </c>
      <c r="AE53" s="543">
        <f>Nov!$G23</f>
        <v>15375028</v>
      </c>
      <c r="AF53" s="543">
        <f>Dec!$G23</f>
        <v>0</v>
      </c>
    </row>
    <row r="54" spans="1:38">
      <c r="A54" s="483"/>
      <c r="B54" s="481" t="s">
        <v>38</v>
      </c>
      <c r="C54" s="491">
        <f t="shared" ref="C54:C61" si="36">SUM(U54:AF54)</f>
        <v>35336899</v>
      </c>
      <c r="D54" s="491">
        <f t="shared" si="35"/>
        <v>47081391</v>
      </c>
      <c r="E54" s="491">
        <v>1599551</v>
      </c>
      <c r="F54" s="491">
        <v>3880001</v>
      </c>
      <c r="G54" s="491">
        <v>5651303</v>
      </c>
      <c r="H54" s="491">
        <v>7518125</v>
      </c>
      <c r="I54" s="543">
        <v>7025543</v>
      </c>
      <c r="J54" s="543">
        <v>6903553</v>
      </c>
      <c r="K54" s="543">
        <v>5310734</v>
      </c>
      <c r="L54" s="543">
        <v>3390429</v>
      </c>
      <c r="M54" s="543">
        <v>2183609</v>
      </c>
      <c r="N54" s="543">
        <v>1741655</v>
      </c>
      <c r="O54" s="543">
        <v>1476567</v>
      </c>
      <c r="P54" s="543">
        <v>1364087</v>
      </c>
      <c r="Q54" s="543">
        <v>1739755</v>
      </c>
      <c r="R54" s="543">
        <v>2776031</v>
      </c>
      <c r="S54" s="543">
        <v>6141604</v>
      </c>
      <c r="T54" s="543">
        <v>6045485</v>
      </c>
      <c r="U54" s="543">
        <v>6173752</v>
      </c>
      <c r="V54" s="543">
        <f>Feb!$G24</f>
        <v>5630395</v>
      </c>
      <c r="W54" s="543">
        <f>Mar!$G24</f>
        <v>4030672</v>
      </c>
      <c r="X54" s="543">
        <f>Apr!$G24</f>
        <v>3448422</v>
      </c>
      <c r="Y54" s="543">
        <f>May!$G24</f>
        <v>1901440</v>
      </c>
      <c r="Z54" s="543">
        <f>Jun!$G24</f>
        <v>1561904</v>
      </c>
      <c r="AA54" s="543">
        <f>Jul!$G24</f>
        <v>1323231</v>
      </c>
      <c r="AB54" s="543">
        <f>Aug!$G24</f>
        <v>1284422</v>
      </c>
      <c r="AC54" s="543">
        <f>Sep!$G24</f>
        <v>1854848</v>
      </c>
      <c r="AD54" s="543">
        <f>Oct!$G25</f>
        <v>2624293</v>
      </c>
      <c r="AE54" s="543">
        <f>Nov!$G25</f>
        <v>5503520</v>
      </c>
      <c r="AF54" s="543">
        <f>Dec!$G24</f>
        <v>0</v>
      </c>
    </row>
    <row r="55" spans="1:38">
      <c r="A55" s="483"/>
      <c r="B55" s="481" t="s">
        <v>39</v>
      </c>
      <c r="C55" s="491">
        <f t="shared" si="36"/>
        <v>0</v>
      </c>
      <c r="D55" s="491">
        <f t="shared" si="35"/>
        <v>0</v>
      </c>
      <c r="E55" s="491">
        <v>0</v>
      </c>
      <c r="F55" s="491">
        <v>0</v>
      </c>
      <c r="G55" s="491">
        <v>0</v>
      </c>
      <c r="H55" s="491">
        <v>0</v>
      </c>
      <c r="I55" s="543">
        <v>0</v>
      </c>
      <c r="J55" s="543">
        <v>0</v>
      </c>
      <c r="K55" s="543">
        <v>0</v>
      </c>
      <c r="L55" s="543">
        <v>0</v>
      </c>
      <c r="M55" s="543">
        <v>0</v>
      </c>
      <c r="N55" s="543">
        <v>0</v>
      </c>
      <c r="O55" s="543">
        <v>0</v>
      </c>
      <c r="P55" s="543">
        <v>0</v>
      </c>
      <c r="Q55" s="543">
        <v>0</v>
      </c>
      <c r="R55" s="543">
        <v>0</v>
      </c>
      <c r="S55" s="543">
        <v>0</v>
      </c>
      <c r="T55" s="543">
        <v>0</v>
      </c>
      <c r="U55" s="543">
        <v>0</v>
      </c>
      <c r="V55" s="543">
        <f>Feb!$G25</f>
        <v>0</v>
      </c>
      <c r="W55" s="543">
        <f>Mar!$G25</f>
        <v>0</v>
      </c>
      <c r="X55" s="543">
        <f>Apr!$G25</f>
        <v>0</v>
      </c>
      <c r="Y55" s="543">
        <f>May!$G25</f>
        <v>0</v>
      </c>
      <c r="Z55" s="543">
        <f>Jun!$G25</f>
        <v>0</v>
      </c>
      <c r="AA55" s="543">
        <f>Jul!$G25</f>
        <v>0</v>
      </c>
      <c r="AB55" s="543">
        <f>Aug!$G25</f>
        <v>0</v>
      </c>
      <c r="AC55" s="543">
        <f>Sep!$G25</f>
        <v>0</v>
      </c>
      <c r="AD55" s="543">
        <f>Oct!$G26</f>
        <v>0</v>
      </c>
      <c r="AE55" s="543">
        <f>Nov!$G26</f>
        <v>0</v>
      </c>
      <c r="AF55" s="543">
        <f>Dec!$G25</f>
        <v>0</v>
      </c>
    </row>
    <row r="56" spans="1:38">
      <c r="A56" s="483"/>
      <c r="B56" s="481" t="s">
        <v>40</v>
      </c>
      <c r="C56" s="491">
        <f t="shared" si="36"/>
        <v>4051936</v>
      </c>
      <c r="D56" s="491">
        <f t="shared" si="35"/>
        <v>4993299</v>
      </c>
      <c r="E56" s="491">
        <v>344046</v>
      </c>
      <c r="F56" s="491">
        <v>595792</v>
      </c>
      <c r="G56" s="491">
        <v>396185</v>
      </c>
      <c r="H56" s="491">
        <v>588721</v>
      </c>
      <c r="I56" s="543">
        <v>534459</v>
      </c>
      <c r="J56" s="543">
        <v>540817</v>
      </c>
      <c r="K56" s="543">
        <v>425342</v>
      </c>
      <c r="L56" s="543">
        <v>407197</v>
      </c>
      <c r="M56" s="543">
        <v>340947</v>
      </c>
      <c r="N56" s="543">
        <v>361843</v>
      </c>
      <c r="O56" s="543">
        <v>251184</v>
      </c>
      <c r="P56" s="543">
        <v>332621</v>
      </c>
      <c r="Q56" s="543">
        <v>330926</v>
      </c>
      <c r="R56" s="543">
        <v>483057</v>
      </c>
      <c r="S56" s="543">
        <v>518418</v>
      </c>
      <c r="T56" s="543">
        <v>377457</v>
      </c>
      <c r="U56" s="543">
        <v>513680</v>
      </c>
      <c r="V56" s="543">
        <f>Feb!$G26</f>
        <v>431734</v>
      </c>
      <c r="W56" s="543">
        <f>Mar!$G26</f>
        <v>335852</v>
      </c>
      <c r="X56" s="543">
        <f>Apr!$G26</f>
        <v>432834</v>
      </c>
      <c r="Y56" s="543">
        <f>May!$G26</f>
        <v>249954</v>
      </c>
      <c r="Z56" s="543">
        <f>Jun!$G26</f>
        <v>322862</v>
      </c>
      <c r="AA56" s="543">
        <f>Jul!$G26</f>
        <v>247078</v>
      </c>
      <c r="AB56" s="543">
        <f>Aug!$G26</f>
        <v>274690</v>
      </c>
      <c r="AC56" s="543">
        <f>Sep!$G26</f>
        <v>336073</v>
      </c>
      <c r="AD56" s="543">
        <f>Oct!$G27</f>
        <v>365802</v>
      </c>
      <c r="AE56" s="543">
        <f>Nov!$G27</f>
        <v>541377</v>
      </c>
      <c r="AF56" s="543">
        <f>Dec!$G26</f>
        <v>0</v>
      </c>
    </row>
    <row r="57" spans="1:38">
      <c r="A57" s="483"/>
      <c r="B57" s="481" t="s">
        <v>41</v>
      </c>
      <c r="C57" s="491">
        <f t="shared" si="36"/>
        <v>504443</v>
      </c>
      <c r="D57" s="491">
        <f t="shared" si="35"/>
        <v>658607</v>
      </c>
      <c r="E57" s="491">
        <v>31388</v>
      </c>
      <c r="F57" s="491">
        <v>40500</v>
      </c>
      <c r="G57" s="491">
        <v>51667</v>
      </c>
      <c r="H57" s="491">
        <v>84319</v>
      </c>
      <c r="I57" s="543">
        <v>95515</v>
      </c>
      <c r="J57" s="543">
        <v>89875</v>
      </c>
      <c r="K57" s="543">
        <v>79687</v>
      </c>
      <c r="L57" s="543">
        <v>48237</v>
      </c>
      <c r="M57" s="543">
        <v>57496</v>
      </c>
      <c r="N57" s="543">
        <v>29984</v>
      </c>
      <c r="O57" s="543">
        <v>36453</v>
      </c>
      <c r="P57" s="543">
        <v>23994</v>
      </c>
      <c r="Q57" s="543">
        <v>27780</v>
      </c>
      <c r="R57" s="543">
        <v>33600</v>
      </c>
      <c r="S57" s="543">
        <v>46503</v>
      </c>
      <c r="T57" s="543">
        <v>74423</v>
      </c>
      <c r="U57" s="543">
        <v>81674</v>
      </c>
      <c r="V57" s="543">
        <f>Feb!$G27</f>
        <v>68846</v>
      </c>
      <c r="W57" s="543">
        <f>Mar!$G27</f>
        <v>57610</v>
      </c>
      <c r="X57" s="543">
        <f>Apr!$G27</f>
        <v>49631</v>
      </c>
      <c r="Y57" s="543">
        <f>May!$G27</f>
        <v>46984</v>
      </c>
      <c r="Z57" s="543">
        <f>Jun!$G27</f>
        <v>30135</v>
      </c>
      <c r="AA57" s="543">
        <f>Jul!$G27</f>
        <v>28317</v>
      </c>
      <c r="AB57" s="543">
        <f>Aug!$G27</f>
        <v>27313</v>
      </c>
      <c r="AC57" s="543">
        <f>Sep!$G27</f>
        <v>29790</v>
      </c>
      <c r="AD57" s="543">
        <f>Oct!$G28</f>
        <v>36487</v>
      </c>
      <c r="AE57" s="543">
        <f>Nov!$G28</f>
        <v>47656</v>
      </c>
      <c r="AF57" s="543">
        <f>Dec!$G27</f>
        <v>0</v>
      </c>
    </row>
    <row r="58" spans="1:38">
      <c r="A58" s="483"/>
      <c r="B58" s="481" t="s">
        <v>42</v>
      </c>
      <c r="C58" s="491">
        <f t="shared" si="36"/>
        <v>0</v>
      </c>
      <c r="D58" s="491">
        <f t="shared" si="35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f>Feb!$G28</f>
        <v>0</v>
      </c>
      <c r="W58" s="543">
        <f>Mar!$G28</f>
        <v>0</v>
      </c>
      <c r="X58" s="543">
        <f>Apr!$G28</f>
        <v>0</v>
      </c>
      <c r="Y58" s="543">
        <f>May!$G28</f>
        <v>0</v>
      </c>
      <c r="Z58" s="543">
        <f>Jun!$G28</f>
        <v>0</v>
      </c>
      <c r="AA58" s="543">
        <f>Jul!$G28</f>
        <v>0</v>
      </c>
      <c r="AB58" s="543">
        <f>Aug!$G28</f>
        <v>0</v>
      </c>
      <c r="AC58" s="543">
        <f>Sep!$G28</f>
        <v>0</v>
      </c>
      <c r="AD58" s="543">
        <f>Oct!$G29</f>
        <v>0</v>
      </c>
      <c r="AE58" s="543">
        <f>Nov!$G29</f>
        <v>0</v>
      </c>
      <c r="AF58" s="543">
        <f>Dec!$G28</f>
        <v>0</v>
      </c>
    </row>
    <row r="59" spans="1:38">
      <c r="A59" s="483"/>
      <c r="B59" s="481" t="s">
        <v>43</v>
      </c>
      <c r="C59" s="491">
        <f t="shared" si="36"/>
        <v>871865</v>
      </c>
      <c r="D59" s="491">
        <f t="shared" si="35"/>
        <v>1097701</v>
      </c>
      <c r="E59" s="491">
        <v>54453</v>
      </c>
      <c r="F59" s="491">
        <v>68629</v>
      </c>
      <c r="G59" s="491">
        <v>142001</v>
      </c>
      <c r="H59" s="491">
        <v>132732</v>
      </c>
      <c r="I59" s="543">
        <v>149468</v>
      </c>
      <c r="J59" s="543">
        <v>140495</v>
      </c>
      <c r="K59" s="543">
        <v>132979</v>
      </c>
      <c r="L59" s="543">
        <v>91026</v>
      </c>
      <c r="M59" s="543">
        <v>83802</v>
      </c>
      <c r="N59" s="543">
        <v>58384</v>
      </c>
      <c r="O59" s="543">
        <v>45870</v>
      </c>
      <c r="P59" s="543">
        <v>32437</v>
      </c>
      <c r="Q59" s="543">
        <v>37881</v>
      </c>
      <c r="R59" s="543">
        <v>50626</v>
      </c>
      <c r="S59" s="543">
        <v>67642</v>
      </c>
      <c r="T59" s="543">
        <v>112489</v>
      </c>
      <c r="U59" s="543">
        <v>129251</v>
      </c>
      <c r="V59" s="543">
        <f>Feb!$G29</f>
        <v>123377</v>
      </c>
      <c r="W59" s="543">
        <f>Mar!$G29</f>
        <v>100117</v>
      </c>
      <c r="X59" s="543">
        <f>Apr!$G29</f>
        <v>81076</v>
      </c>
      <c r="Y59" s="543">
        <f>May!$G29</f>
        <v>83536</v>
      </c>
      <c r="Z59" s="543">
        <f>Jun!$G29</f>
        <v>56511</v>
      </c>
      <c r="AA59" s="543">
        <f>Jul!$G29</f>
        <v>13364</v>
      </c>
      <c r="AB59" s="543">
        <f>Aug!$G29</f>
        <v>68158</v>
      </c>
      <c r="AC59" s="543">
        <f>Sep!$G29</f>
        <v>45470</v>
      </c>
      <c r="AD59" s="543">
        <f>Oct!$G30</f>
        <v>96224</v>
      </c>
      <c r="AE59" s="543">
        <f>Nov!$G30</f>
        <v>74781</v>
      </c>
      <c r="AF59" s="543">
        <f>Dec!$G29</f>
        <v>0</v>
      </c>
    </row>
    <row r="60" spans="1:38">
      <c r="A60" s="483"/>
      <c r="B60" s="481" t="s">
        <v>74</v>
      </c>
      <c r="C60" s="491">
        <f t="shared" si="36"/>
        <v>26235211</v>
      </c>
      <c r="D60" s="491">
        <f t="shared" si="35"/>
        <v>30501971</v>
      </c>
      <c r="E60" s="491">
        <v>1818699</v>
      </c>
      <c r="F60" s="491">
        <v>2531895</v>
      </c>
      <c r="G60" s="491">
        <v>2936207</v>
      </c>
      <c r="H60" s="491">
        <v>3675604</v>
      </c>
      <c r="I60" s="543">
        <v>3517013</v>
      </c>
      <c r="J60" s="543">
        <v>3103551</v>
      </c>
      <c r="K60" s="543">
        <v>2882510</v>
      </c>
      <c r="L60" s="543">
        <v>2426511</v>
      </c>
      <c r="M60" s="543">
        <v>2096539</v>
      </c>
      <c r="N60" s="543">
        <v>1865473</v>
      </c>
      <c r="O60" s="543">
        <v>1934510</v>
      </c>
      <c r="P60" s="543">
        <v>1781233</v>
      </c>
      <c r="Q60" s="543">
        <v>1975142</v>
      </c>
      <c r="R60" s="543">
        <v>2307678</v>
      </c>
      <c r="S60" s="543">
        <v>3052956</v>
      </c>
      <c r="T60" s="543">
        <v>3180451</v>
      </c>
      <c r="U60" s="543">
        <v>3286166</v>
      </c>
      <c r="V60" s="543">
        <f>Feb!$G30</f>
        <v>2735718</v>
      </c>
      <c r="W60" s="543">
        <f>Mar!$G30</f>
        <v>2608561</v>
      </c>
      <c r="X60" s="543">
        <f>Apr!$G30</f>
        <v>2436951</v>
      </c>
      <c r="Y60" s="543">
        <f>May!$G30</f>
        <v>2203136</v>
      </c>
      <c r="Z60" s="543">
        <f>Jun!$G30</f>
        <v>1941783</v>
      </c>
      <c r="AA60" s="543">
        <f>Jul!$G30</f>
        <v>1912819</v>
      </c>
      <c r="AB60" s="543">
        <f>Aug!$G30</f>
        <v>1943542</v>
      </c>
      <c r="AC60" s="543">
        <f>Sep!$G30</f>
        <v>1945064</v>
      </c>
      <c r="AD60" s="543">
        <f>Oct!$G31</f>
        <v>2201297</v>
      </c>
      <c r="AE60" s="543">
        <f>Nov!$G31</f>
        <v>3020174</v>
      </c>
      <c r="AF60" s="543">
        <f>Dec!$G30</f>
        <v>0</v>
      </c>
    </row>
    <row r="61" spans="1:38" ht="16" thickBot="1">
      <c r="A61" s="483"/>
      <c r="B61" s="481" t="s">
        <v>21</v>
      </c>
      <c r="C61" s="542">
        <f t="shared" si="36"/>
        <v>150964902</v>
      </c>
      <c r="D61" s="542">
        <f t="shared" si="35"/>
        <v>202840773</v>
      </c>
      <c r="E61" s="542">
        <f>SUM(E53:E60)</f>
        <v>6495675</v>
      </c>
      <c r="F61" s="542">
        <f>SUM(F53:F60)</f>
        <v>16361170</v>
      </c>
      <c r="G61" s="542">
        <f t="shared" ref="G61:H61" si="37">SUM(G53:G60)</f>
        <v>24248041</v>
      </c>
      <c r="H61" s="542">
        <f t="shared" si="37"/>
        <v>34635509</v>
      </c>
      <c r="I61" s="542">
        <v>32004448</v>
      </c>
      <c r="J61" s="542">
        <v>30962664</v>
      </c>
      <c r="K61" s="542">
        <v>22927995</v>
      </c>
      <c r="L61" s="542">
        <v>14139728</v>
      </c>
      <c r="M61" s="542">
        <v>8453696</v>
      </c>
      <c r="N61" s="542">
        <v>6603119</v>
      </c>
      <c r="O61" s="542">
        <v>5839672</v>
      </c>
      <c r="P61" s="542">
        <v>5582149</v>
      </c>
      <c r="Q61" s="542">
        <v>6839096</v>
      </c>
      <c r="R61" s="542">
        <v>10604656</v>
      </c>
      <c r="S61" s="542">
        <v>25650139</v>
      </c>
      <c r="T61" s="542">
        <v>28846914</v>
      </c>
      <c r="U61" s="542">
        <v>30094197</v>
      </c>
      <c r="V61" s="542">
        <f t="shared" ref="V61:AF61" si="38">SUM(V53:V60)</f>
        <v>22001617</v>
      </c>
      <c r="W61" s="542">
        <f t="shared" si="38"/>
        <v>17611817</v>
      </c>
      <c r="X61" s="542">
        <f t="shared" si="38"/>
        <v>14163392</v>
      </c>
      <c r="Y61" s="542">
        <f t="shared" si="38"/>
        <v>7782410</v>
      </c>
      <c r="Z61" s="542">
        <f t="shared" si="38"/>
        <v>5881684</v>
      </c>
      <c r="AA61" s="542">
        <f t="shared" si="38"/>
        <v>5669948</v>
      </c>
      <c r="AB61" s="542">
        <f t="shared" si="38"/>
        <v>5554978</v>
      </c>
      <c r="AC61" s="542">
        <f t="shared" si="38"/>
        <v>7484702</v>
      </c>
      <c r="AD61" s="542">
        <f t="shared" si="38"/>
        <v>10157621</v>
      </c>
      <c r="AE61" s="542">
        <f t="shared" si="38"/>
        <v>24562536</v>
      </c>
      <c r="AF61" s="542">
        <f t="shared" si="38"/>
        <v>0</v>
      </c>
    </row>
    <row r="62" spans="1:38" ht="16" thickTop="1">
      <c r="A62" s="483"/>
      <c r="B62" s="481" t="s">
        <v>269</v>
      </c>
      <c r="C62" s="491">
        <f>SUM(U62:AF62)</f>
        <v>91653433</v>
      </c>
      <c r="D62" s="491">
        <f t="shared" si="35"/>
        <v>202840773</v>
      </c>
      <c r="E62" s="491">
        <v>6495675</v>
      </c>
      <c r="F62" s="491">
        <v>16361170</v>
      </c>
      <c r="G62" s="491">
        <v>24248041</v>
      </c>
      <c r="H62" s="491">
        <v>34635509</v>
      </c>
      <c r="I62" s="491">
        <v>32004448</v>
      </c>
      <c r="J62" s="491">
        <v>30962664</v>
      </c>
      <c r="K62" s="491">
        <v>22927995</v>
      </c>
      <c r="L62" s="491">
        <v>14139728</v>
      </c>
      <c r="M62" s="491">
        <v>8453696</v>
      </c>
      <c r="N62" s="491">
        <v>6603119</v>
      </c>
      <c r="O62" s="491">
        <v>5839672</v>
      </c>
      <c r="P62" s="491">
        <v>5582149</v>
      </c>
      <c r="Q62" s="491">
        <v>6839096</v>
      </c>
      <c r="R62" s="491">
        <v>10604656</v>
      </c>
      <c r="S62" s="491">
        <v>25650139</v>
      </c>
      <c r="T62" s="491">
        <v>28846914</v>
      </c>
      <c r="U62" s="491">
        <v>30094197</v>
      </c>
      <c r="V62" s="491">
        <v>22001617</v>
      </c>
      <c r="W62" s="491">
        <f>Mar!G32</f>
        <v>17611817</v>
      </c>
      <c r="X62" s="491">
        <v>14163392</v>
      </c>
      <c r="Y62" s="491">
        <v>7782410</v>
      </c>
      <c r="Z62" s="491"/>
      <c r="AA62" s="491"/>
      <c r="AB62" s="491"/>
      <c r="AC62" s="491"/>
      <c r="AD62" s="491"/>
      <c r="AE62" s="491"/>
      <c r="AF62" s="491"/>
      <c r="AG62" s="491"/>
    </row>
    <row r="63" spans="1:38">
      <c r="A63" s="483" t="s">
        <v>22</v>
      </c>
      <c r="E63" s="535"/>
      <c r="F63" s="535"/>
      <c r="G63" s="535"/>
      <c r="H63" s="535"/>
      <c r="I63" s="535"/>
      <c r="J63" s="535"/>
      <c r="K63" s="535"/>
      <c r="L63" s="535"/>
      <c r="M63" s="535"/>
      <c r="N63" s="535"/>
      <c r="O63" s="535"/>
      <c r="P63" s="535"/>
      <c r="Q63" s="535"/>
      <c r="R63" s="535"/>
      <c r="S63" s="535"/>
      <c r="T63" s="535"/>
      <c r="U63" s="535"/>
      <c r="V63" s="535"/>
      <c r="W63" s="535"/>
      <c r="X63" s="535"/>
      <c r="Y63" s="535"/>
      <c r="Z63" s="535"/>
      <c r="AA63" s="535"/>
      <c r="AB63" s="535"/>
      <c r="AC63" s="535"/>
      <c r="AD63" s="535"/>
      <c r="AE63" s="535"/>
      <c r="AF63" s="535"/>
      <c r="AI63" s="539"/>
    </row>
    <row r="64" spans="1:38">
      <c r="A64" s="484">
        <v>191025</v>
      </c>
      <c r="B64" s="485" t="s">
        <v>256</v>
      </c>
      <c r="E64" s="484">
        <v>201309</v>
      </c>
      <c r="F64" s="484">
        <f>E64+1</f>
        <v>201310</v>
      </c>
      <c r="G64" s="484">
        <f>F64+1</f>
        <v>201311</v>
      </c>
      <c r="H64" s="484">
        <f>G64+1</f>
        <v>201312</v>
      </c>
      <c r="I64" s="484">
        <v>201401</v>
      </c>
      <c r="J64" s="484">
        <v>201402</v>
      </c>
      <c r="K64" s="484">
        <v>201403</v>
      </c>
      <c r="L64" s="484">
        <v>201404</v>
      </c>
      <c r="M64" s="484">
        <v>201405</v>
      </c>
      <c r="N64" s="484">
        <v>201406</v>
      </c>
      <c r="O64" s="484">
        <v>201407</v>
      </c>
      <c r="P64" s="484">
        <v>201408</v>
      </c>
      <c r="Q64" s="484">
        <v>201409</v>
      </c>
      <c r="R64" s="484">
        <v>201410</v>
      </c>
      <c r="S64" s="484">
        <v>201411</v>
      </c>
      <c r="T64" s="484">
        <v>201412</v>
      </c>
      <c r="U64" s="484">
        <v>201501</v>
      </c>
      <c r="V64" s="484">
        <f t="shared" ref="V64:AD64" si="39">U64+1</f>
        <v>201502</v>
      </c>
      <c r="W64" s="484">
        <f t="shared" si="39"/>
        <v>201503</v>
      </c>
      <c r="X64" s="484">
        <f t="shared" si="39"/>
        <v>201504</v>
      </c>
      <c r="Y64" s="484">
        <f t="shared" si="39"/>
        <v>201505</v>
      </c>
      <c r="Z64" s="484">
        <f t="shared" si="39"/>
        <v>201506</v>
      </c>
      <c r="AA64" s="484">
        <f t="shared" si="39"/>
        <v>201507</v>
      </c>
      <c r="AB64" s="484">
        <f t="shared" si="39"/>
        <v>201508</v>
      </c>
      <c r="AC64" s="484">
        <f t="shared" si="39"/>
        <v>201509</v>
      </c>
      <c r="AD64" s="484">
        <f t="shared" si="39"/>
        <v>201510</v>
      </c>
      <c r="AE64" s="484">
        <f>AD64+1</f>
        <v>201511</v>
      </c>
      <c r="AF64" s="484">
        <f t="shared" ref="AF64" si="40">AE64+1</f>
        <v>201512</v>
      </c>
    </row>
    <row r="65" spans="1:39">
      <c r="A65" s="483"/>
      <c r="B65" s="481" t="s">
        <v>37</v>
      </c>
      <c r="E65" s="492">
        <v>-2.1900000000000001E-3</v>
      </c>
      <c r="F65" s="492">
        <v>-2.1900000000000001E-3</v>
      </c>
      <c r="G65" s="496" t="s">
        <v>270</v>
      </c>
      <c r="H65" s="496" t="s">
        <v>270</v>
      </c>
      <c r="I65" s="492">
        <v>-3.8999999999999999E-4</v>
      </c>
      <c r="J65" s="492">
        <v>-3.8999999999999999E-4</v>
      </c>
      <c r="K65" s="492">
        <v>-3.8999999999999999E-4</v>
      </c>
      <c r="L65" s="492">
        <v>-3.8999999999999999E-4</v>
      </c>
      <c r="M65" s="492">
        <v>-3.8999999999999999E-4</v>
      </c>
      <c r="N65" s="492">
        <v>-3.8999999999999999E-4</v>
      </c>
      <c r="O65" s="492">
        <v>-3.8999999999999999E-4</v>
      </c>
      <c r="P65" s="492">
        <v>-3.8999999999999999E-4</v>
      </c>
      <c r="Q65" s="492">
        <v>-3.8999999999999999E-4</v>
      </c>
      <c r="R65" s="492">
        <v>-3.8999999999999999E-4</v>
      </c>
      <c r="S65" s="496" t="s">
        <v>270</v>
      </c>
      <c r="T65" s="496" t="s">
        <v>270</v>
      </c>
      <c r="U65" s="492">
        <v>2.5000000000000001E-4</v>
      </c>
      <c r="V65" s="492">
        <v>2.5000000000000001E-4</v>
      </c>
      <c r="W65" s="492">
        <v>2.5000000000000001E-4</v>
      </c>
      <c r="X65" s="492">
        <v>2.5000000000000001E-4</v>
      </c>
      <c r="Y65" s="492">
        <v>2.5000000000000001E-4</v>
      </c>
      <c r="Z65" s="492">
        <v>2.5000000000000001E-4</v>
      </c>
      <c r="AA65" s="492">
        <v>2.5000000000000001E-4</v>
      </c>
      <c r="AB65" s="492">
        <v>2.5000000000000001E-4</v>
      </c>
      <c r="AC65" s="492">
        <v>2.5000000000000001E-4</v>
      </c>
      <c r="AD65" s="492">
        <v>2.5000000000000001E-4</v>
      </c>
      <c r="AE65" s="496" t="s">
        <v>270</v>
      </c>
      <c r="AF65" s="496" t="s">
        <v>270</v>
      </c>
    </row>
    <row r="66" spans="1:39">
      <c r="A66" s="483"/>
      <c r="B66" s="481" t="s">
        <v>38</v>
      </c>
      <c r="E66" s="492">
        <v>-2.1900000000000001E-3</v>
      </c>
      <c r="F66" s="492">
        <v>-2.1900000000000001E-3</v>
      </c>
      <c r="G66" s="496" t="s">
        <v>270</v>
      </c>
      <c r="H66" s="496" t="s">
        <v>270</v>
      </c>
      <c r="I66" s="492">
        <v>-3.8999999999999999E-4</v>
      </c>
      <c r="J66" s="492">
        <v>-3.8999999999999999E-4</v>
      </c>
      <c r="K66" s="492">
        <v>-3.8999999999999999E-4</v>
      </c>
      <c r="L66" s="492">
        <v>-3.8999999999999999E-4</v>
      </c>
      <c r="M66" s="492">
        <v>-3.8999999999999999E-4</v>
      </c>
      <c r="N66" s="492">
        <v>-3.8999999999999999E-4</v>
      </c>
      <c r="O66" s="492">
        <v>-3.8999999999999999E-4</v>
      </c>
      <c r="P66" s="492">
        <v>-3.8999999999999999E-4</v>
      </c>
      <c r="Q66" s="492">
        <v>-3.8999999999999999E-4</v>
      </c>
      <c r="R66" s="492">
        <v>-3.8999999999999999E-4</v>
      </c>
      <c r="S66" s="496" t="s">
        <v>270</v>
      </c>
      <c r="T66" s="496" t="s">
        <v>270</v>
      </c>
      <c r="U66" s="492">
        <v>2.5000000000000001E-4</v>
      </c>
      <c r="V66" s="492">
        <v>2.5000000000000001E-4</v>
      </c>
      <c r="W66" s="492">
        <v>2.5000000000000001E-4</v>
      </c>
      <c r="X66" s="492">
        <v>2.5000000000000001E-4</v>
      </c>
      <c r="Y66" s="492">
        <v>2.5000000000000001E-4</v>
      </c>
      <c r="Z66" s="492">
        <v>2.5000000000000001E-4</v>
      </c>
      <c r="AA66" s="492">
        <v>2.5000000000000001E-4</v>
      </c>
      <c r="AB66" s="492">
        <v>2.5000000000000001E-4</v>
      </c>
      <c r="AC66" s="492">
        <v>2.5000000000000001E-4</v>
      </c>
      <c r="AD66" s="492">
        <v>2.5000000000000001E-4</v>
      </c>
      <c r="AE66" s="496" t="s">
        <v>270</v>
      </c>
      <c r="AF66" s="496" t="s">
        <v>270</v>
      </c>
    </row>
    <row r="67" spans="1:39">
      <c r="A67" s="483"/>
      <c r="B67" s="481" t="s">
        <v>39</v>
      </c>
      <c r="E67" s="492">
        <v>-2.1900000000000001E-3</v>
      </c>
      <c r="F67" s="492">
        <v>-2.1900000000000001E-3</v>
      </c>
      <c r="G67" s="496" t="s">
        <v>270</v>
      </c>
      <c r="H67" s="496" t="s">
        <v>270</v>
      </c>
      <c r="I67" s="492">
        <v>-3.8999999999999999E-4</v>
      </c>
      <c r="J67" s="492">
        <v>-3.8999999999999999E-4</v>
      </c>
      <c r="K67" s="492">
        <v>-3.8999999999999999E-4</v>
      </c>
      <c r="L67" s="492">
        <v>-3.8999999999999999E-4</v>
      </c>
      <c r="M67" s="492">
        <v>-3.8999999999999999E-4</v>
      </c>
      <c r="N67" s="492">
        <v>-3.8999999999999999E-4</v>
      </c>
      <c r="O67" s="492">
        <v>-3.8999999999999999E-4</v>
      </c>
      <c r="P67" s="492">
        <v>-3.8999999999999999E-4</v>
      </c>
      <c r="Q67" s="492">
        <v>-3.8999999999999999E-4</v>
      </c>
      <c r="R67" s="492">
        <v>-3.8999999999999999E-4</v>
      </c>
      <c r="S67" s="496" t="s">
        <v>270</v>
      </c>
      <c r="T67" s="496" t="s">
        <v>270</v>
      </c>
      <c r="U67" s="492">
        <v>2.5000000000000001E-4</v>
      </c>
      <c r="V67" s="492">
        <v>2.5000000000000001E-4</v>
      </c>
      <c r="W67" s="492">
        <v>2.5000000000000001E-4</v>
      </c>
      <c r="X67" s="492">
        <v>2.5000000000000001E-4</v>
      </c>
      <c r="Y67" s="492">
        <v>2.5000000000000001E-4</v>
      </c>
      <c r="Z67" s="492">
        <v>2.5000000000000001E-4</v>
      </c>
      <c r="AA67" s="492">
        <v>2.5000000000000001E-4</v>
      </c>
      <c r="AB67" s="492">
        <v>2.5000000000000001E-4</v>
      </c>
      <c r="AC67" s="492">
        <v>2.5000000000000001E-4</v>
      </c>
      <c r="AD67" s="492">
        <v>2.5000000000000001E-4</v>
      </c>
      <c r="AE67" s="496" t="s">
        <v>270</v>
      </c>
      <c r="AF67" s="496" t="s">
        <v>270</v>
      </c>
    </row>
    <row r="68" spans="1:39">
      <c r="A68" s="483"/>
      <c r="B68" s="481" t="s">
        <v>40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270</v>
      </c>
      <c r="AF68" s="496" t="s">
        <v>270</v>
      </c>
    </row>
    <row r="69" spans="1:39">
      <c r="A69" s="483"/>
      <c r="B69" s="481" t="s">
        <v>41</v>
      </c>
      <c r="E69" s="492">
        <v>-2.1900000000000001E-3</v>
      </c>
      <c r="F69" s="492">
        <v>-2.1900000000000001E-3</v>
      </c>
      <c r="G69" s="496" t="s">
        <v>270</v>
      </c>
      <c r="H69" s="496" t="s">
        <v>270</v>
      </c>
      <c r="I69" s="492">
        <v>-3.8999999999999999E-4</v>
      </c>
      <c r="J69" s="492">
        <v>-3.8999999999999999E-4</v>
      </c>
      <c r="K69" s="492">
        <v>-3.8999999999999999E-4</v>
      </c>
      <c r="L69" s="492">
        <v>-3.8999999999999999E-4</v>
      </c>
      <c r="M69" s="492">
        <v>-3.8999999999999999E-4</v>
      </c>
      <c r="N69" s="492">
        <v>-3.8999999999999999E-4</v>
      </c>
      <c r="O69" s="492">
        <v>-3.8999999999999999E-4</v>
      </c>
      <c r="P69" s="492">
        <v>-3.8999999999999999E-4</v>
      </c>
      <c r="Q69" s="492">
        <v>-3.8999999999999999E-4</v>
      </c>
      <c r="R69" s="492">
        <v>-3.8999999999999999E-4</v>
      </c>
      <c r="S69" s="496" t="s">
        <v>270</v>
      </c>
      <c r="T69" s="496" t="s">
        <v>270</v>
      </c>
      <c r="U69" s="492">
        <v>2.5000000000000001E-4</v>
      </c>
      <c r="V69" s="492">
        <v>2.5000000000000001E-4</v>
      </c>
      <c r="W69" s="492">
        <v>2.5000000000000001E-4</v>
      </c>
      <c r="X69" s="492">
        <v>2.5000000000000001E-4</v>
      </c>
      <c r="Y69" s="492">
        <v>2.5000000000000001E-4</v>
      </c>
      <c r="Z69" s="492">
        <v>2.5000000000000001E-4</v>
      </c>
      <c r="AA69" s="492">
        <v>2.5000000000000001E-4</v>
      </c>
      <c r="AB69" s="492">
        <v>2.5000000000000001E-4</v>
      </c>
      <c r="AC69" s="492">
        <v>2.5000000000000001E-4</v>
      </c>
      <c r="AD69" s="492">
        <v>2.5000000000000001E-4</v>
      </c>
      <c r="AE69" s="496" t="s">
        <v>270</v>
      </c>
      <c r="AF69" s="496" t="s">
        <v>270</v>
      </c>
    </row>
    <row r="70" spans="1:39" ht="16" thickBot="1">
      <c r="A70" s="483"/>
      <c r="B70" s="481" t="s">
        <v>42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270</v>
      </c>
      <c r="AF70" s="496" t="s">
        <v>270</v>
      </c>
    </row>
    <row r="71" spans="1:39" ht="16" thickBot="1">
      <c r="A71" s="483"/>
      <c r="B71" s="481" t="s">
        <v>43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270</v>
      </c>
      <c r="AF71" s="496" t="s">
        <v>270</v>
      </c>
      <c r="AH71" s="522">
        <f>AH4</f>
        <v>201505</v>
      </c>
      <c r="AI71" s="531"/>
      <c r="AJ71" s="523"/>
      <c r="AK71" s="523"/>
      <c r="AL71" s="523"/>
      <c r="AM71" s="524"/>
    </row>
    <row r="72" spans="1:39">
      <c r="A72" s="483"/>
      <c r="B72" s="481" t="s">
        <v>74</v>
      </c>
      <c r="E72" s="492">
        <v>-2.0000000000000001E-4</v>
      </c>
      <c r="F72" s="492">
        <v>-2.0000000000000001E-4</v>
      </c>
      <c r="G72" s="496" t="s">
        <v>270</v>
      </c>
      <c r="H72" s="496" t="s">
        <v>270</v>
      </c>
      <c r="I72" s="492">
        <v>-4.0000000000000003E-5</v>
      </c>
      <c r="J72" s="492">
        <v>-4.0000000000000003E-5</v>
      </c>
      <c r="K72" s="492">
        <v>-4.0000000000000003E-5</v>
      </c>
      <c r="L72" s="492">
        <v>-4.0000000000000003E-5</v>
      </c>
      <c r="M72" s="492">
        <v>-4.0000000000000003E-5</v>
      </c>
      <c r="N72" s="492">
        <v>-4.0000000000000003E-5</v>
      </c>
      <c r="O72" s="492">
        <v>-4.0000000000000003E-5</v>
      </c>
      <c r="P72" s="492">
        <v>-4.0000000000000003E-5</v>
      </c>
      <c r="Q72" s="492">
        <v>-4.0000000000000003E-5</v>
      </c>
      <c r="R72" s="492">
        <v>-4.0000000000000003E-5</v>
      </c>
      <c r="S72" s="496" t="s">
        <v>270</v>
      </c>
      <c r="T72" s="496" t="s">
        <v>270</v>
      </c>
      <c r="U72" s="492">
        <v>4.0000000000000003E-5</v>
      </c>
      <c r="V72" s="492">
        <v>4.0000000000000003E-5</v>
      </c>
      <c r="W72" s="492">
        <v>4.0000000000000003E-5</v>
      </c>
      <c r="X72" s="492">
        <v>4.0000000000000003E-5</v>
      </c>
      <c r="Y72" s="492">
        <v>4.0000000000000003E-5</v>
      </c>
      <c r="Z72" s="492">
        <v>4.0000000000000003E-5</v>
      </c>
      <c r="AA72" s="492">
        <v>4.0000000000000003E-5</v>
      </c>
      <c r="AB72" s="492">
        <v>4.0000000000000003E-5</v>
      </c>
      <c r="AC72" s="492">
        <v>4.0000000000000003E-5</v>
      </c>
      <c r="AD72" s="492">
        <v>4.0000000000000003E-5</v>
      </c>
      <c r="AE72" s="496" t="s">
        <v>270</v>
      </c>
      <c r="AF72" s="496" t="s">
        <v>270</v>
      </c>
      <c r="AH72" s="499" t="s">
        <v>302</v>
      </c>
      <c r="AI72" s="528">
        <v>191025</v>
      </c>
      <c r="AJ72" s="358" t="s">
        <v>288</v>
      </c>
      <c r="AK72" s="358" t="s">
        <v>289</v>
      </c>
      <c r="AL72" s="381">
        <f>IF((SUMIF(U74:AF74,AH71,U76:AF76))&gt;0,(SUMIF(U74:AF74,AH71,U76:AF76)),0)</f>
        <v>1482.9439400000001</v>
      </c>
      <c r="AM72" s="500">
        <f>IF((SUMIF(U74:AF74,AH71,U76:AF76))&lt;0,-(SUMIF(U74:AF74,AH71,U76:AF76)),0)</f>
        <v>0</v>
      </c>
    </row>
    <row r="73" spans="1:39">
      <c r="A73" s="483" t="s">
        <v>293</v>
      </c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92"/>
      <c r="Y73" s="492"/>
      <c r="Z73" s="492"/>
      <c r="AA73" s="492"/>
      <c r="AB73" s="492"/>
      <c r="AC73" s="492"/>
      <c r="AD73" s="492"/>
      <c r="AE73" s="492"/>
      <c r="AF73" s="492"/>
      <c r="AH73" s="499" t="s">
        <v>303</v>
      </c>
      <c r="AI73" s="528">
        <v>805110</v>
      </c>
      <c r="AJ73" s="358" t="s">
        <v>288</v>
      </c>
      <c r="AK73" s="358" t="s">
        <v>289</v>
      </c>
      <c r="AL73" s="381">
        <f>IF((SUMIF(U74:AF74,AH71,U76:AF76))&lt;0,-(SUMIF(U74:AF74,AH71,U76:AF76)),0)</f>
        <v>0</v>
      </c>
      <c r="AM73" s="500">
        <f>IF((SUMIF(U74:AF74,AH71,U76:AF76))&gt;0,(SUMIF(U74:AF74,AH71,U76:AF76)),0)</f>
        <v>1482.9439400000001</v>
      </c>
    </row>
    <row r="74" spans="1:39" s="483" customFormat="1">
      <c r="A74" s="484">
        <v>191025</v>
      </c>
      <c r="B74" s="485" t="s">
        <v>256</v>
      </c>
      <c r="C74" s="486" t="s">
        <v>251</v>
      </c>
      <c r="D74" s="682" t="s">
        <v>252</v>
      </c>
      <c r="E74" s="484">
        <v>201309</v>
      </c>
      <c r="F74" s="484">
        <f>E74+1</f>
        <v>201310</v>
      </c>
      <c r="G74" s="484">
        <f>F74+1</f>
        <v>201311</v>
      </c>
      <c r="H74" s="484">
        <f>G74+1</f>
        <v>201312</v>
      </c>
      <c r="I74" s="484">
        <v>201401</v>
      </c>
      <c r="J74" s="484">
        <v>201402</v>
      </c>
      <c r="K74" s="484">
        <v>201403</v>
      </c>
      <c r="L74" s="484">
        <v>201404</v>
      </c>
      <c r="M74" s="484">
        <v>201405</v>
      </c>
      <c r="N74" s="484">
        <v>201406</v>
      </c>
      <c r="O74" s="484">
        <v>201407</v>
      </c>
      <c r="P74" s="484">
        <v>201408</v>
      </c>
      <c r="Q74" s="484">
        <v>201409</v>
      </c>
      <c r="R74" s="484">
        <v>201410</v>
      </c>
      <c r="S74" s="484">
        <v>201411</v>
      </c>
      <c r="T74" s="484">
        <v>201412</v>
      </c>
      <c r="U74" s="484">
        <v>201501</v>
      </c>
      <c r="V74" s="484">
        <f t="shared" ref="V74:AD74" si="41">U74+1</f>
        <v>201502</v>
      </c>
      <c r="W74" s="484">
        <f t="shared" si="41"/>
        <v>201503</v>
      </c>
      <c r="X74" s="484">
        <f t="shared" si="41"/>
        <v>201504</v>
      </c>
      <c r="Y74" s="484">
        <f t="shared" si="41"/>
        <v>201505</v>
      </c>
      <c r="Z74" s="484">
        <f t="shared" si="41"/>
        <v>201506</v>
      </c>
      <c r="AA74" s="484">
        <f t="shared" si="41"/>
        <v>201507</v>
      </c>
      <c r="AB74" s="484">
        <f t="shared" si="41"/>
        <v>201508</v>
      </c>
      <c r="AC74" s="484">
        <f t="shared" si="41"/>
        <v>201509</v>
      </c>
      <c r="AD74" s="484">
        <f t="shared" si="41"/>
        <v>201510</v>
      </c>
      <c r="AE74" s="484">
        <f>AD74+1</f>
        <v>201511</v>
      </c>
      <c r="AF74" s="484">
        <f t="shared" ref="AF74" si="42">AE74+1</f>
        <v>201512</v>
      </c>
      <c r="AH74" s="499" t="s">
        <v>273</v>
      </c>
      <c r="AI74" s="528"/>
      <c r="AJ74" s="358"/>
      <c r="AK74" s="358"/>
      <c r="AL74" s="381">
        <v>0</v>
      </c>
      <c r="AM74" s="500">
        <v>0</v>
      </c>
    </row>
    <row r="75" spans="1:39" ht="16" thickBot="1">
      <c r="A75" s="493"/>
      <c r="B75" s="481" t="s">
        <v>253</v>
      </c>
      <c r="E75" s="482">
        <v>49539.047030000002</v>
      </c>
      <c r="F75" s="482">
        <f>E78</f>
        <v>38932.729789999998</v>
      </c>
      <c r="G75" s="482">
        <f>F78</f>
        <v>8140.2385399999985</v>
      </c>
      <c r="H75" s="482">
        <f>G78</f>
        <v>-693.68146000000161</v>
      </c>
      <c r="I75" s="482">
        <v>-13695.721460000002</v>
      </c>
      <c r="J75" s="482">
        <v>-24946.501630000002</v>
      </c>
      <c r="K75" s="482">
        <v>-35935.697740000003</v>
      </c>
      <c r="L75" s="482">
        <v>-43868.737290000005</v>
      </c>
      <c r="M75" s="482">
        <v>-48533.952360000003</v>
      </c>
      <c r="N75" s="482">
        <v>-51097.105150000003</v>
      </c>
      <c r="O75" s="482">
        <v>-53019.406010000006</v>
      </c>
      <c r="P75" s="482">
        <v>-54619.79959000001</v>
      </c>
      <c r="Q75" s="482">
        <v>-56173.40615000001</v>
      </c>
      <c r="R75" s="482">
        <v>-58149.353890000013</v>
      </c>
      <c r="S75" s="482">
        <v>-61477.482430000011</v>
      </c>
      <c r="T75" s="482">
        <v>-56200.445640000013</v>
      </c>
      <c r="U75" s="482">
        <v>-49897.475640000011</v>
      </c>
      <c r="V75" s="482">
        <f>U78</f>
        <v>-43064.021250000013</v>
      </c>
      <c r="W75" s="482">
        <f t="shared" ref="W75:AD75" si="43">V78</f>
        <v>-38138.117780000015</v>
      </c>
      <c r="X75" s="482">
        <f t="shared" si="43"/>
        <v>-34282.961340000016</v>
      </c>
      <c r="Y75" s="482">
        <f t="shared" si="43"/>
        <v>-31253.873050000017</v>
      </c>
      <c r="Z75" s="482">
        <f t="shared" si="43"/>
        <v>-29770.929110000015</v>
      </c>
      <c r="AA75" s="482">
        <f t="shared" si="43"/>
        <v>-28708.282540000015</v>
      </c>
      <c r="AB75" s="482">
        <f t="shared" si="43"/>
        <v>-27692.487530000013</v>
      </c>
      <c r="AC75" s="482">
        <f t="shared" si="43"/>
        <v>-26711.886850000014</v>
      </c>
      <c r="AD75" s="482">
        <f t="shared" si="43"/>
        <v>-25249.174790000012</v>
      </c>
      <c r="AE75" s="482">
        <f>AD78</f>
        <v>-23172.041910000011</v>
      </c>
      <c r="AF75" s="482">
        <f>AE78</f>
        <v>-23172.041910000011</v>
      </c>
      <c r="AH75" s="501" t="s">
        <v>273</v>
      </c>
      <c r="AI75" s="529"/>
      <c r="AJ75" s="502"/>
      <c r="AK75" s="502"/>
      <c r="AL75" s="503">
        <v>0</v>
      </c>
      <c r="AM75" s="521">
        <v>0</v>
      </c>
    </row>
    <row r="76" spans="1:39" ht="16" thickBot="1">
      <c r="B76" s="481" t="s">
        <v>23</v>
      </c>
      <c r="C76" s="482">
        <f>SUM(U76:AF76)</f>
        <v>26725.433730000008</v>
      </c>
      <c r="D76" s="494">
        <f>SUM(G76:R76)</f>
        <v>-69617.720970000009</v>
      </c>
      <c r="E76" s="482">
        <f>SUMPRODUCT(E53:E60,E65:E72)</f>
        <v>-10606.31724</v>
      </c>
      <c r="F76" s="482">
        <f>SUMPRODUCT(F53:F60,F65:F72)</f>
        <v>-30792.491249999999</v>
      </c>
      <c r="G76" s="482">
        <v>-8833.92</v>
      </c>
      <c r="H76" s="482">
        <v>-13002.04</v>
      </c>
      <c r="I76" s="482">
        <v>-11250.78017</v>
      </c>
      <c r="J76" s="482">
        <v>-10989.196110000001</v>
      </c>
      <c r="K76" s="482">
        <v>-7933.0395500000013</v>
      </c>
      <c r="L76" s="482">
        <v>-4665.2150699999993</v>
      </c>
      <c r="M76" s="482">
        <v>-2563.1527899999996</v>
      </c>
      <c r="N76" s="482">
        <v>-1922.3008600000003</v>
      </c>
      <c r="O76" s="482">
        <v>-1600.3935799999999</v>
      </c>
      <c r="P76" s="482">
        <v>-1553.6065599999997</v>
      </c>
      <c r="Q76" s="482">
        <v>-1975.9477400000001</v>
      </c>
      <c r="R76" s="482">
        <v>-3328.1285399999992</v>
      </c>
      <c r="S76" s="557">
        <v>5277.0367900000001</v>
      </c>
      <c r="T76" s="557">
        <v>6302.97</v>
      </c>
      <c r="U76" s="482">
        <v>6833.4543899999999</v>
      </c>
      <c r="V76" s="482">
        <f t="shared" ref="V76:AD76" si="44">SUMPRODUCT(V53:V60,V65:V72)</f>
        <v>4925.9034700000011</v>
      </c>
      <c r="W76" s="482">
        <f t="shared" si="44"/>
        <v>3855.1564400000007</v>
      </c>
      <c r="X76" s="482">
        <f t="shared" si="44"/>
        <v>3029.0882899999997</v>
      </c>
      <c r="Y76" s="482">
        <f t="shared" si="44"/>
        <v>1482.9439400000001</v>
      </c>
      <c r="Z76" s="482">
        <f t="shared" si="44"/>
        <v>1062.6465700000001</v>
      </c>
      <c r="AA76" s="482">
        <f t="shared" si="44"/>
        <v>1015.7950099999999</v>
      </c>
      <c r="AB76" s="482">
        <f t="shared" si="44"/>
        <v>980.60068000000001</v>
      </c>
      <c r="AC76" s="482">
        <f t="shared" si="44"/>
        <v>1462.7120600000003</v>
      </c>
      <c r="AD76" s="482">
        <f t="shared" si="44"/>
        <v>2077.1328800000001</v>
      </c>
      <c r="AE76" s="563"/>
      <c r="AF76" s="563"/>
      <c r="AH76" s="516"/>
      <c r="AI76" s="530"/>
      <c r="AJ76" s="517"/>
      <c r="AK76" s="517"/>
      <c r="AL76" s="517" t="s">
        <v>159</v>
      </c>
      <c r="AM76" s="518">
        <f>SUM(AL72:AL75)-SUM(AM72:AM75)</f>
        <v>0</v>
      </c>
    </row>
    <row r="77" spans="1:39">
      <c r="B77" s="481" t="s">
        <v>148</v>
      </c>
      <c r="C77" s="482">
        <f>SUM(I77:T77)</f>
        <v>0</v>
      </c>
      <c r="E77" s="482">
        <v>0</v>
      </c>
      <c r="F77" s="482">
        <v>0</v>
      </c>
      <c r="G77" s="482">
        <v>0</v>
      </c>
      <c r="H77" s="482">
        <v>0</v>
      </c>
      <c r="I77" s="482">
        <v>0</v>
      </c>
      <c r="J77" s="482">
        <v>0</v>
      </c>
      <c r="K77" s="482">
        <v>0</v>
      </c>
      <c r="L77" s="482">
        <v>0</v>
      </c>
      <c r="M77" s="482">
        <v>0</v>
      </c>
      <c r="N77" s="482">
        <v>0</v>
      </c>
      <c r="O77" s="482">
        <v>0</v>
      </c>
      <c r="P77" s="482">
        <v>0</v>
      </c>
      <c r="Q77" s="482">
        <v>0</v>
      </c>
      <c r="R77" s="482">
        <v>0</v>
      </c>
      <c r="S77" s="482">
        <v>0</v>
      </c>
      <c r="T77" s="482">
        <v>0</v>
      </c>
      <c r="U77" s="482">
        <v>0</v>
      </c>
      <c r="V77" s="482">
        <v>0</v>
      </c>
      <c r="W77" s="482">
        <v>0</v>
      </c>
      <c r="X77" s="482">
        <v>0</v>
      </c>
      <c r="Y77" s="482">
        <v>0</v>
      </c>
      <c r="Z77" s="482">
        <v>0</v>
      </c>
      <c r="AA77" s="482">
        <v>0</v>
      </c>
      <c r="AB77" s="482">
        <v>0</v>
      </c>
      <c r="AC77" s="482">
        <v>0</v>
      </c>
      <c r="AD77" s="482">
        <v>0</v>
      </c>
      <c r="AE77" s="482">
        <v>0</v>
      </c>
      <c r="AF77" s="482">
        <v>0</v>
      </c>
    </row>
    <row r="78" spans="1:39" ht="16" thickBot="1">
      <c r="B78" s="481" t="s">
        <v>56</v>
      </c>
      <c r="C78" s="541">
        <f>SUM(C76:C77)</f>
        <v>26725.433730000008</v>
      </c>
      <c r="D78" s="541"/>
      <c r="E78" s="541">
        <f t="shared" ref="E78:H78" si="45">SUM(E75:E77)</f>
        <v>38932.729789999998</v>
      </c>
      <c r="F78" s="541">
        <f t="shared" si="45"/>
        <v>8140.2385399999985</v>
      </c>
      <c r="G78" s="541">
        <f t="shared" si="45"/>
        <v>-693.68146000000161</v>
      </c>
      <c r="H78" s="541">
        <f t="shared" si="45"/>
        <v>-13695.721460000002</v>
      </c>
      <c r="I78" s="541">
        <v>-24946.501630000002</v>
      </c>
      <c r="J78" s="541">
        <v>-35935.697740000003</v>
      </c>
      <c r="K78" s="541">
        <v>-43868.737290000005</v>
      </c>
      <c r="L78" s="541">
        <v>-48533.952360000003</v>
      </c>
      <c r="M78" s="541">
        <v>-51097.105150000003</v>
      </c>
      <c r="N78" s="541">
        <v>-53019.406010000006</v>
      </c>
      <c r="O78" s="541">
        <v>-54619.79959000001</v>
      </c>
      <c r="P78" s="541">
        <v>-56173.40615000001</v>
      </c>
      <c r="Q78" s="541">
        <v>-58149.353890000013</v>
      </c>
      <c r="R78" s="541">
        <v>-61477.482430000011</v>
      </c>
      <c r="S78" s="541">
        <v>-56200.445640000013</v>
      </c>
      <c r="T78" s="541">
        <v>-49897.475640000011</v>
      </c>
      <c r="U78" s="541">
        <v>-43064.021250000013</v>
      </c>
      <c r="V78" s="541">
        <f t="shared" ref="V78:AF78" si="46">SUM(V75:V77)</f>
        <v>-38138.117780000015</v>
      </c>
      <c r="W78" s="541">
        <f t="shared" si="46"/>
        <v>-34282.961340000016</v>
      </c>
      <c r="X78" s="541">
        <f t="shared" si="46"/>
        <v>-31253.873050000017</v>
      </c>
      <c r="Y78" s="541">
        <f t="shared" si="46"/>
        <v>-29770.929110000015</v>
      </c>
      <c r="Z78" s="541">
        <f t="shared" si="46"/>
        <v>-28708.282540000015</v>
      </c>
      <c r="AA78" s="541">
        <f t="shared" si="46"/>
        <v>-27692.487530000013</v>
      </c>
      <c r="AB78" s="541">
        <f t="shared" si="46"/>
        <v>-26711.886850000014</v>
      </c>
      <c r="AC78" s="541">
        <f t="shared" si="46"/>
        <v>-25249.174790000012</v>
      </c>
      <c r="AD78" s="541">
        <f t="shared" si="46"/>
        <v>-23172.041910000011</v>
      </c>
      <c r="AE78" s="541">
        <f t="shared" si="46"/>
        <v>-23172.041910000011</v>
      </c>
      <c r="AF78" s="541">
        <f t="shared" si="46"/>
        <v>-23172.041910000011</v>
      </c>
    </row>
    <row r="79" spans="1:39" ht="16" thickTop="1">
      <c r="B79" s="481" t="s">
        <v>260</v>
      </c>
      <c r="E79" s="482" t="e">
        <f ca="1">_xll.Get_Balance(E74,"YTD","USD","Total","A","","001",$A$74,"GD","WA","DL")</f>
        <v>#NAME?</v>
      </c>
      <c r="F79" s="482" t="e">
        <f ca="1">_xll.Get_Balance(F74,"YTD","USD","Total","A","","001",$A$74,"GD","WA","DL")</f>
        <v>#NAME?</v>
      </c>
      <c r="G79" s="482" t="e">
        <f ca="1">_xll.Get_Balance(G74,"YTD","USD","Total","A","","001",$A$74,"GD","WA","DL")</f>
        <v>#NAME?</v>
      </c>
      <c r="H79" s="482" t="e">
        <f ca="1">_xll.Get_Balance(H74,"YTD","USD","Total","A","","001",$A$74,"GD","WA","DL")</f>
        <v>#NAME?</v>
      </c>
      <c r="I79" s="482">
        <v>-24946.5</v>
      </c>
      <c r="J79" s="482">
        <v>-35935.699999999997</v>
      </c>
      <c r="K79" s="482">
        <v>-43868.74</v>
      </c>
      <c r="L79" s="482">
        <v>-48533.96</v>
      </c>
      <c r="M79" s="482">
        <v>-51097.11</v>
      </c>
      <c r="N79" s="482">
        <v>-53019.41</v>
      </c>
      <c r="O79" s="482">
        <v>-54619.8</v>
      </c>
      <c r="P79" s="482">
        <v>-56173.41</v>
      </c>
      <c r="Q79" s="482">
        <v>-58149.36</v>
      </c>
      <c r="R79" s="482">
        <v>-61477.49</v>
      </c>
      <c r="S79" s="482">
        <v>-56200.45</v>
      </c>
      <c r="T79" s="482">
        <v>-49897.48</v>
      </c>
      <c r="U79" s="482">
        <v>-43064.03</v>
      </c>
      <c r="V79" s="482" t="e">
        <f ca="1">_xll.Get_Balance(V74,"YTD","USD","Total","A","","001",$A$74,"GD","WA","DL")</f>
        <v>#NAME?</v>
      </c>
      <c r="W79" s="482" t="e">
        <f ca="1">_xll.Get_Balance(W74,"YTD","USD","Total","A","","001",$A$74,"GD","WA","DL")</f>
        <v>#NAME?</v>
      </c>
      <c r="X79" s="482" t="e">
        <f ca="1">_xll.Get_Balance(X74,"YTD","USD","Total","A","","001",$A$74,"GD","WA","DL")</f>
        <v>#NAME?</v>
      </c>
      <c r="Y79" s="482" t="e">
        <f ca="1">_xll.Get_Balance(Y74,"YTD","USD","Total","A","","001",$A$74,"GD","WA","DL")</f>
        <v>#NAME?</v>
      </c>
      <c r="Z79" s="482" t="e">
        <f ca="1">_xll.Get_Balance(Z74,"YTD","USD","Total","A","","001",$A$74,"GD","WA","DL")</f>
        <v>#NAME?</v>
      </c>
      <c r="AA79" s="482" t="e">
        <f ca="1">_xll.Get_Balance(AA74,"YTD","USD","Total","A","","001",$A$74,"GD","WA","DL")</f>
        <v>#NAME?</v>
      </c>
      <c r="AB79" s="482" t="e">
        <f ca="1">_xll.Get_Balance(AB74,"YTD","USD","Total","A","","001",$A$74,"GD","WA","DL")</f>
        <v>#NAME?</v>
      </c>
      <c r="AC79" s="482" t="e">
        <f ca="1">_xll.Get_Balance(AC74,"YTD","USD","Total","A","","001",$A$74,"GD","WA","DL")</f>
        <v>#NAME?</v>
      </c>
      <c r="AD79" s="482" t="e">
        <f ca="1">_xll.Get_Balance(AD74,"YTD","USD","Total","A","","001",$A$74,"GD","WA","DL")</f>
        <v>#NAME?</v>
      </c>
      <c r="AE79" s="482" t="e">
        <f ca="1">_xll.Get_Balance(AE74,"YTD","USD","Total","A","","001",$A$74,"GD","WA","DL")</f>
        <v>#NAME?</v>
      </c>
      <c r="AF79" s="482" t="e">
        <f ca="1">_xll.Get_Balance(AF74,"YTD","USD","Total","A","","001",$A$74,"GD","WA","DL")</f>
        <v>#NAME?</v>
      </c>
    </row>
    <row r="80" spans="1:39">
      <c r="B80" s="481" t="s">
        <v>245</v>
      </c>
      <c r="E80" s="482" t="e">
        <f t="shared" ref="E80:H80" ca="1" si="47">E78-E79</f>
        <v>#NAME?</v>
      </c>
      <c r="F80" s="482" t="e">
        <f t="shared" ca="1" si="47"/>
        <v>#NAME?</v>
      </c>
      <c r="G80" s="482" t="e">
        <f t="shared" ca="1" si="47"/>
        <v>#NAME?</v>
      </c>
      <c r="H80" s="482" t="e">
        <f t="shared" ca="1" si="47"/>
        <v>#NAME?</v>
      </c>
      <c r="I80" s="482">
        <v>-1.6300000024784822E-3</v>
      </c>
      <c r="J80" s="482">
        <v>2.2599999938393012E-3</v>
      </c>
      <c r="K80" s="482">
        <v>2.7099999933852814E-3</v>
      </c>
      <c r="L80" s="482">
        <v>7.6399999961722642E-3</v>
      </c>
      <c r="M80" s="482">
        <v>4.8499999975319952E-3</v>
      </c>
      <c r="N80" s="482">
        <v>3.9899999974295497E-3</v>
      </c>
      <c r="O80" s="482">
        <v>4.0999999328050762E-4</v>
      </c>
      <c r="P80" s="482">
        <v>3.8499999936902896E-3</v>
      </c>
      <c r="Q80" s="482">
        <v>6.1099999875295907E-3</v>
      </c>
      <c r="R80" s="482">
        <v>7.5699999870266765E-3</v>
      </c>
      <c r="S80" s="482">
        <v>4.3599999844445847E-3</v>
      </c>
      <c r="T80" s="482">
        <v>4.3599999917205423E-3</v>
      </c>
      <c r="U80" s="482">
        <v>8.7499999863211997E-3</v>
      </c>
      <c r="V80" s="482" t="e">
        <f t="shared" ref="V80:AF80" ca="1" si="48">V78-V79</f>
        <v>#NAME?</v>
      </c>
      <c r="W80" s="482" t="e">
        <f t="shared" ca="1" si="48"/>
        <v>#NAME?</v>
      </c>
      <c r="X80" s="482" t="e">
        <f t="shared" ca="1" si="48"/>
        <v>#NAME?</v>
      </c>
      <c r="Y80" s="482" t="e">
        <f t="shared" ca="1" si="48"/>
        <v>#NAME?</v>
      </c>
      <c r="Z80" s="482" t="e">
        <f t="shared" ca="1" si="48"/>
        <v>#NAME?</v>
      </c>
      <c r="AA80" s="482" t="e">
        <f t="shared" ca="1" si="48"/>
        <v>#NAME?</v>
      </c>
      <c r="AB80" s="482" t="e">
        <f t="shared" ca="1" si="48"/>
        <v>#NAME?</v>
      </c>
      <c r="AC80" s="482" t="e">
        <f t="shared" ca="1" si="48"/>
        <v>#NAME?</v>
      </c>
      <c r="AD80" s="482" t="e">
        <f t="shared" ca="1" si="48"/>
        <v>#NAME?</v>
      </c>
      <c r="AE80" s="482" t="e">
        <f t="shared" ca="1" si="48"/>
        <v>#NAME?</v>
      </c>
      <c r="AF80" s="482" t="e">
        <f t="shared" ca="1" si="48"/>
        <v>#NAME?</v>
      </c>
    </row>
  </sheetData>
  <conditionalFormatting sqref="E28 K28:AG28 L62:AG62">
    <cfRule type="cellIs" dxfId="390" priority="23" operator="notEqual">
      <formula>E27</formula>
    </cfRule>
  </conditionalFormatting>
  <conditionalFormatting sqref="F28">
    <cfRule type="cellIs" dxfId="389" priority="22" operator="notEqual">
      <formula>F27</formula>
    </cfRule>
  </conditionalFormatting>
  <conditionalFormatting sqref="G28">
    <cfRule type="cellIs" dxfId="388" priority="21" operator="notEqual">
      <formula>G27</formula>
    </cfRule>
  </conditionalFormatting>
  <conditionalFormatting sqref="H28">
    <cfRule type="cellIs" dxfId="387" priority="20" operator="notEqual">
      <formula>H27</formula>
    </cfRule>
  </conditionalFormatting>
  <conditionalFormatting sqref="G62">
    <cfRule type="cellIs" dxfId="386" priority="19" operator="notEqual">
      <formula>G61</formula>
    </cfRule>
  </conditionalFormatting>
  <conditionalFormatting sqref="H62">
    <cfRule type="cellIs" dxfId="385" priority="18" operator="notEqual">
      <formula>H61</formula>
    </cfRule>
  </conditionalFormatting>
  <conditionalFormatting sqref="E62">
    <cfRule type="cellIs" dxfId="384" priority="17" operator="notEqual">
      <formula>E61</formula>
    </cfRule>
  </conditionalFormatting>
  <conditionalFormatting sqref="F62">
    <cfRule type="cellIs" dxfId="383" priority="16" operator="notEqual">
      <formula>F61</formula>
    </cfRule>
  </conditionalFormatting>
  <conditionalFormatting sqref="AM76 AM45 AM11">
    <cfRule type="cellIs" dxfId="382" priority="15" operator="notEqual">
      <formula>0</formula>
    </cfRule>
  </conditionalFormatting>
  <conditionalFormatting sqref="D62">
    <cfRule type="cellIs" dxfId="381" priority="14" operator="notEqual">
      <formula>D61</formula>
    </cfRule>
  </conditionalFormatting>
  <conditionalFormatting sqref="C62">
    <cfRule type="cellIs" dxfId="380" priority="13" operator="notEqual">
      <formula>C61</formula>
    </cfRule>
  </conditionalFormatting>
  <conditionalFormatting sqref="D28">
    <cfRule type="cellIs" dxfId="379" priority="12" operator="notEqual">
      <formula>D27</formula>
    </cfRule>
  </conditionalFormatting>
  <conditionalFormatting sqref="C28">
    <cfRule type="cellIs" dxfId="378" priority="11" operator="notEqual">
      <formula>C27</formula>
    </cfRule>
  </conditionalFormatting>
  <conditionalFormatting sqref="I28">
    <cfRule type="cellIs" dxfId="377" priority="10" operator="notEqual">
      <formula>I27</formula>
    </cfRule>
  </conditionalFormatting>
  <conditionalFormatting sqref="I62">
    <cfRule type="cellIs" dxfId="376" priority="9" operator="notEqual">
      <formula>I61</formula>
    </cfRule>
  </conditionalFormatting>
  <conditionalFormatting sqref="J28">
    <cfRule type="cellIs" dxfId="375" priority="8" operator="notEqual">
      <formula>J27</formula>
    </cfRule>
  </conditionalFormatting>
  <conditionalFormatting sqref="J62">
    <cfRule type="cellIs" dxfId="374" priority="7" operator="notEqual">
      <formula>J61</formula>
    </cfRule>
  </conditionalFormatting>
  <conditionalFormatting sqref="K62">
    <cfRule type="cellIs" dxfId="373" priority="6" operator="notEqual">
      <formula>K61</formula>
    </cfRule>
  </conditionalFormatting>
  <conditionalFormatting sqref="U28">
    <cfRule type="cellIs" dxfId="372" priority="5" operator="notEqual">
      <formula>U27</formula>
    </cfRule>
  </conditionalFormatting>
  <conditionalFormatting sqref="U62">
    <cfRule type="cellIs" dxfId="371" priority="4" operator="notEqual">
      <formula>U61</formula>
    </cfRule>
  </conditionalFormatting>
  <conditionalFormatting sqref="V28">
    <cfRule type="cellIs" dxfId="370" priority="3" operator="notEqual">
      <formula>V27</formula>
    </cfRule>
  </conditionalFormatting>
  <conditionalFormatting sqref="V62">
    <cfRule type="cellIs" dxfId="369" priority="2" operator="notEqual">
      <formula>V61</formula>
    </cfRule>
  </conditionalFormatting>
  <conditionalFormatting sqref="W62">
    <cfRule type="cellIs" dxfId="368" priority="1" operator="notEqual">
      <formula>W61</formula>
    </cfRule>
  </conditionalFormatting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4" tint="0.59999389629810485"/>
  </sheetPr>
  <dimension ref="A1:AO93"/>
  <sheetViews>
    <sheetView workbookViewId="0">
      <selection activeCell="U38" sqref="U38"/>
    </sheetView>
  </sheetViews>
  <sheetFormatPr defaultColWidth="9.09765625" defaultRowHeight="15.5"/>
  <cols>
    <col min="1" max="1" width="16.69921875" style="482" customWidth="1"/>
    <col min="2" max="2" width="25.296875" style="481" bestFit="1" customWidth="1"/>
    <col min="3" max="3" width="16.296875" style="482" bestFit="1" customWidth="1"/>
    <col min="4" max="4" width="16.09765625" style="482" customWidth="1"/>
    <col min="5" max="6" width="16.3984375" style="482" hidden="1" customWidth="1"/>
    <col min="7" max="7" width="16.296875" style="482" hidden="1" customWidth="1"/>
    <col min="8" max="9" width="18.3984375" style="482" hidden="1" customWidth="1"/>
    <col min="10" max="12" width="16.296875" style="482" hidden="1" customWidth="1"/>
    <col min="13" max="13" width="16.8984375" style="482" hidden="1" customWidth="1"/>
    <col min="14" max="18" width="16.296875" style="482" hidden="1" customWidth="1"/>
    <col min="19" max="20" width="16.296875" style="482" customWidth="1"/>
    <col min="21" max="21" width="18.3984375" style="482" customWidth="1"/>
    <col min="22" max="23" width="16.296875" style="482" customWidth="1"/>
    <col min="24" max="24" width="16.69921875" style="482" customWidth="1"/>
    <col min="25" max="25" width="16.8984375" style="482" customWidth="1"/>
    <col min="26" max="32" width="16.296875" style="482" hidden="1" customWidth="1"/>
    <col min="33" max="33" width="1.59765625" style="482" customWidth="1"/>
    <col min="34" max="34" width="36.296875" style="482" bestFit="1" customWidth="1"/>
    <col min="35" max="35" width="15.59765625" style="525" bestFit="1" customWidth="1"/>
    <col min="36" max="36" width="4.69921875" style="482" bestFit="1" customWidth="1"/>
    <col min="37" max="37" width="3.3984375" style="482" bestFit="1" customWidth="1"/>
    <col min="38" max="39" width="17.09765625" style="482" bestFit="1" customWidth="1"/>
    <col min="40" max="40" width="0.59765625" style="482" customWidth="1"/>
    <col min="41" max="16384" width="9.09765625" style="482"/>
  </cols>
  <sheetData>
    <row r="1" spans="1:39">
      <c r="A1" s="480" t="s">
        <v>265</v>
      </c>
      <c r="AH1" s="480" t="s">
        <v>315</v>
      </c>
    </row>
    <row r="2" spans="1:39">
      <c r="A2" s="483" t="s">
        <v>267</v>
      </c>
    </row>
    <row r="3" spans="1:39" s="483" customFormat="1" ht="31.5" thickBot="1">
      <c r="A3" s="484">
        <v>191010</v>
      </c>
      <c r="B3" s="485" t="s">
        <v>256</v>
      </c>
      <c r="C3" s="486" t="s">
        <v>251</v>
      </c>
      <c r="D3" s="682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I3" s="484"/>
    </row>
    <row r="4" spans="1:39" s="483" customFormat="1" ht="16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H4" s="544">
        <v>201505</v>
      </c>
      <c r="AI4" s="526"/>
      <c r="AJ4" s="514"/>
      <c r="AK4" s="514"/>
      <c r="AL4" s="514"/>
      <c r="AM4" s="515"/>
    </row>
    <row r="5" spans="1:39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f>T13</f>
        <v>-411904.7279799963</v>
      </c>
      <c r="V5" s="482">
        <f>U13</f>
        <v>-645308.82581999747</v>
      </c>
      <c r="W5" s="482">
        <f t="shared" ref="W5:AF5" si="1">V13</f>
        <v>-851213.3205709972</v>
      </c>
      <c r="X5" s="482">
        <f t="shared" si="1"/>
        <v>-383853.68833599566</v>
      </c>
      <c r="Y5" s="482">
        <f t="shared" si="1"/>
        <v>-1320748.2898439963</v>
      </c>
      <c r="Z5" s="482">
        <f t="shared" si="1"/>
        <v>-1486769.1493459961</v>
      </c>
      <c r="AA5" s="482">
        <f t="shared" si="1"/>
        <v>-1775279.9458759972</v>
      </c>
      <c r="AB5" s="482">
        <f t="shared" si="1"/>
        <v>-2119120.6388879968</v>
      </c>
      <c r="AC5" s="482">
        <f t="shared" si="1"/>
        <v>-2515662.2971379957</v>
      </c>
      <c r="AD5" s="482">
        <f t="shared" si="1"/>
        <v>-3163911.9401459969</v>
      </c>
      <c r="AE5" s="482">
        <f t="shared" si="1"/>
        <v>-3819344.4755009972</v>
      </c>
      <c r="AF5" s="482">
        <f t="shared" si="1"/>
        <v>-4461427.0393109964</v>
      </c>
      <c r="AH5" s="497" t="s">
        <v>304</v>
      </c>
      <c r="AI5" s="527">
        <v>419600</v>
      </c>
      <c r="AJ5" s="498" t="s">
        <v>288</v>
      </c>
      <c r="AK5" s="498" t="s">
        <v>291</v>
      </c>
      <c r="AL5" s="519">
        <v>0</v>
      </c>
      <c r="AM5" s="520">
        <f>IF(SUMIF(U3:AF3,AH4,U8:AF8)&gt;0,SUMIF(U3:AF3,AH4,U8:AF8),0)</f>
        <v>0</v>
      </c>
    </row>
    <row r="6" spans="1:39">
      <c r="B6" s="481" t="s">
        <v>254</v>
      </c>
      <c r="C6" s="482">
        <f>SUM(U6:AF6)</f>
        <v>-5056717.7079139985</v>
      </c>
      <c r="D6" s="482">
        <f>-1369125.49+SUM(E6:N6,E9:T9)</f>
        <v>-2.14532227255404E-3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f>Jan!$J$53</f>
        <v>331968.15844599903</v>
      </c>
      <c r="V6" s="482">
        <f>Feb!$J$53</f>
        <v>0</v>
      </c>
      <c r="W6" s="482">
        <f>Mar!$J$53</f>
        <v>547802.71264300169</v>
      </c>
      <c r="X6" s="482">
        <f>Apr!$J$53</f>
        <v>-1029654.8148680007</v>
      </c>
      <c r="Y6" s="482">
        <f>May!$J$53</f>
        <v>-494908.28808599967</v>
      </c>
      <c r="Z6" s="482">
        <f>Jun!$J$53</f>
        <v>-803843.28933000052</v>
      </c>
      <c r="AA6" s="482">
        <f>Jul!$J$53</f>
        <v>-778841.02357199905</v>
      </c>
      <c r="AB6" s="482">
        <f>Aug!$J$53</f>
        <v>-816009.11660199915</v>
      </c>
      <c r="AC6" s="482">
        <f>Sep!$J$53</f>
        <v>-995450.54456800083</v>
      </c>
      <c r="AD6" s="482">
        <f>Oct!$J$55</f>
        <v>-911936.74747700011</v>
      </c>
      <c r="AE6" s="482">
        <f>Nov!$J$55</f>
        <v>-105844.75449999981</v>
      </c>
      <c r="AF6" s="482">
        <f>Dec!$J$53</f>
        <v>0</v>
      </c>
      <c r="AH6" s="499" t="s">
        <v>305</v>
      </c>
      <c r="AI6" s="528">
        <v>431600</v>
      </c>
      <c r="AJ6" s="358" t="s">
        <v>288</v>
      </c>
      <c r="AK6" s="358" t="s">
        <v>291</v>
      </c>
      <c r="AL6" s="381">
        <f>IF(SUMIF(U3:AF3,AH4,U8:AF8)&lt;0,-SUMIF(U3:AF3,AH4,U8:AF8),0)</f>
        <v>1169.31</v>
      </c>
      <c r="AM6" s="500">
        <v>0</v>
      </c>
    </row>
    <row r="7" spans="1:39">
      <c r="B7" s="481" t="s">
        <v>255</v>
      </c>
      <c r="C7" s="482">
        <f t="shared" ref="C7:C11" si="2">SUM(U7:AF7)</f>
        <v>954206.43658299907</v>
      </c>
      <c r="D7" s="482">
        <f>1867859.17+SUM(E7:N7,E10:T10)</f>
        <v>-1.7596203833818436E-3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f>Jan!$K$53</f>
        <v>-634725.57628600008</v>
      </c>
      <c r="V7" s="482">
        <f>Feb!$K$53</f>
        <v>-205263.17475099966</v>
      </c>
      <c r="W7" s="482">
        <f>Mar!$K$53</f>
        <v>-80067.220408000168</v>
      </c>
      <c r="X7" s="482">
        <f>Apr!$K$53</f>
        <v>93304.253359999973</v>
      </c>
      <c r="Y7" s="482">
        <f>May!$K$53</f>
        <v>330056.73858399986</v>
      </c>
      <c r="Z7" s="482">
        <f>Jun!$K$53</f>
        <v>516691.11279999983</v>
      </c>
      <c r="AA7" s="482">
        <f>Jul!$K$53</f>
        <v>436622.32056000002</v>
      </c>
      <c r="AB7" s="482">
        <f>Aug!$K$53</f>
        <v>421397.81835199991</v>
      </c>
      <c r="AC7" s="482">
        <f>Sep!$K$53</f>
        <v>349566.40155999974</v>
      </c>
      <c r="AD7" s="482">
        <f>Oct!$K$55</f>
        <v>259412.69212199986</v>
      </c>
      <c r="AE7" s="563">
        <f>Nov!$K$55</f>
        <v>-532788.92931000004</v>
      </c>
      <c r="AF7" s="482">
        <f>Dec!$K$53</f>
        <v>0</v>
      </c>
      <c r="AH7" s="499" t="s">
        <v>306</v>
      </c>
      <c r="AI7" s="528">
        <v>191010</v>
      </c>
      <c r="AJ7" s="358" t="s">
        <v>288</v>
      </c>
      <c r="AK7" s="358" t="s">
        <v>291</v>
      </c>
      <c r="AL7" s="381">
        <f>IF((SUMIF(U3:AF3,AH4,U6:AF6)+SUMIF(U3:AF3,AH4,U7:AF7)+SUMIF(U3:AF3,AH4,U8:AF8))&gt;0,(SUMIF(U3:AF3,AH4,U6:AF6)+SUMIF(U3:AF3,AH4,U7:AF7)+SUMIF(U3:AF3,AH4,U8:AF8)),0)</f>
        <v>0</v>
      </c>
      <c r="AM7" s="500">
        <f>IF((SUMIF(U3:AF3,AH4,U6:AF6)+SUMIF(U3:AF3,AH4,U7:AF7)+SUMIF(U3:AF3,AH4,U8:AF8))&lt;0,-(SUMIF(U3:AF3,AH4,U6:AF6)+SUMIF(U3:AF3,AH4,U7:AF7)++SUMIF(U3:AF3,AH4,U8:AF8)),0)</f>
        <v>166020.8595019998</v>
      </c>
    </row>
    <row r="8" spans="1:39">
      <c r="B8" s="481" t="s">
        <v>258</v>
      </c>
      <c r="C8" s="482">
        <f t="shared" si="2"/>
        <v>-20775.64</v>
      </c>
      <c r="D8" s="482">
        <f>-7356.73+SUM(E8:N8,E11:T11)</f>
        <v>0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f>ROUND(((X5+X12)*(X4/12))+((SUM(X6:X7)/2)*(X4/12)),2)</f>
        <v>-709.89</v>
      </c>
      <c r="Y8" s="489">
        <f t="shared" ref="Y8:AC8" si="3">ROUND(((Y5+Y9+Y10+Y11)*(Y4/12))+((SUM(Y6:Y7)/2)*(Y4/12)),2)</f>
        <v>-1169.31</v>
      </c>
      <c r="Z8" s="489">
        <f t="shared" si="3"/>
        <v>-1358.62</v>
      </c>
      <c r="AA8" s="489">
        <f t="shared" si="3"/>
        <v>-1621.99</v>
      </c>
      <c r="AB8" s="489">
        <f t="shared" si="3"/>
        <v>-1930.36</v>
      </c>
      <c r="AC8" s="489">
        <f t="shared" si="3"/>
        <v>-2365.5</v>
      </c>
      <c r="AD8" s="489">
        <f>ROUND(((AD5+AD9+AD10+AD11)*(AD4/12))+((SUM(AD6:AD7)/2)*(AD4/12)),2)</f>
        <v>-2908.48</v>
      </c>
      <c r="AE8" s="482">
        <f>ROUND(((AE5+AE9+AE10+AE11)*(AE4/12))+((SUM(AE6:AE7)/2)*(AE4/12)),2)</f>
        <v>-3448.88</v>
      </c>
      <c r="AF8" s="489">
        <f>ROUND(((AF5+AF9+AF10+AF11)*(AF4/12))+((SUM(AF6:AF7)/2)*(AF4/12)),2)</f>
        <v>-3717.86</v>
      </c>
      <c r="AH8" s="499" t="s">
        <v>307</v>
      </c>
      <c r="AI8" s="528">
        <v>805120</v>
      </c>
      <c r="AJ8" s="358" t="s">
        <v>288</v>
      </c>
      <c r="AK8" s="358" t="s">
        <v>291</v>
      </c>
      <c r="AL8" s="381">
        <f>IF((SUMIF(U3:AF3,AH4,U6:AF6)+SUMIF(U3:AF3,AH4,U7:AF7))&lt;0,-(SUMIF(U3:AF3,AH4,U6:AF6)+SUMIF(U3:AF3,AH4,U7:AF7)),0)</f>
        <v>164851.54950199981</v>
      </c>
      <c r="AM8" s="500">
        <f>IF((SUMIF(U3:AF3,AH4,U6:AF6)+SUMIF(U3:AF3,AH4,U7:AF7))&gt;0,(SUMIF(U3:AF3,AH4,U6:AF6)+SUMIF(U3:AF3,AH4,U7:AF7)),0)</f>
        <v>0</v>
      </c>
    </row>
    <row r="9" spans="1:39">
      <c r="B9" s="481" t="s">
        <v>262</v>
      </c>
      <c r="C9" s="482">
        <f t="shared" si="2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F9" s="482">
        <v>0</v>
      </c>
      <c r="AH9" s="499" t="s">
        <v>11</v>
      </c>
      <c r="AI9" s="528">
        <v>191010</v>
      </c>
      <c r="AJ9" s="358" t="s">
        <v>288</v>
      </c>
      <c r="AK9" s="358" t="s">
        <v>291</v>
      </c>
      <c r="AL9" s="381">
        <v>0</v>
      </c>
      <c r="AM9" s="500">
        <v>0</v>
      </c>
    </row>
    <row r="10" spans="1:39" ht="16" thickBot="1">
      <c r="B10" s="481" t="s">
        <v>263</v>
      </c>
      <c r="C10" s="482">
        <f t="shared" si="2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F10" s="482">
        <v>0</v>
      </c>
      <c r="AH10" s="501" t="str">
        <f>AH9</f>
        <v>Tracker Transfer</v>
      </c>
      <c r="AI10" s="529">
        <f>AI44</f>
        <v>191000</v>
      </c>
      <c r="AJ10" s="529" t="str">
        <f>AJ44</f>
        <v>GD</v>
      </c>
      <c r="AK10" s="529" t="str">
        <f>AK44</f>
        <v>ID</v>
      </c>
      <c r="AL10" s="503">
        <v>0</v>
      </c>
      <c r="AM10" s="521">
        <f>AL9</f>
        <v>0</v>
      </c>
    </row>
    <row r="11" spans="1:39" ht="16" thickBot="1">
      <c r="B11" s="481" t="s">
        <v>264</v>
      </c>
      <c r="C11" s="482">
        <f t="shared" si="2"/>
        <v>-49.16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F11" s="482">
        <v>0</v>
      </c>
      <c r="AH11" s="516"/>
      <c r="AI11" s="530"/>
      <c r="AJ11" s="517"/>
      <c r="AK11" s="517"/>
      <c r="AL11" s="517" t="s">
        <v>159</v>
      </c>
      <c r="AM11" s="518">
        <f>SUM(AL5:AL10)-SUM(AM5:AM10)</f>
        <v>0</v>
      </c>
    </row>
    <row r="12" spans="1:39">
      <c r="B12" s="481" t="s">
        <v>148</v>
      </c>
      <c r="C12" s="482">
        <f>SUM(U12:AF12)</f>
        <v>70095.900000000009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</row>
    <row r="13" spans="1:39" ht="16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4">SUM(F5:F12)</f>
        <v>-179650.44284699953</v>
      </c>
      <c r="G13" s="541">
        <f t="shared" si="4"/>
        <v>-770749.33284699952</v>
      </c>
      <c r="H13" s="541">
        <f t="shared" si="4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F13" si="5">SUM(U5:U12)</f>
        <v>-645308.82581999747</v>
      </c>
      <c r="V13" s="541">
        <f t="shared" si="5"/>
        <v>-851213.3205709972</v>
      </c>
      <c r="W13" s="541">
        <f t="shared" si="5"/>
        <v>-383853.68833599566</v>
      </c>
      <c r="X13" s="541">
        <f t="shared" si="5"/>
        <v>-1320748.2898439963</v>
      </c>
      <c r="Y13" s="541">
        <f t="shared" si="5"/>
        <v>-1486769.1493459961</v>
      </c>
      <c r="Z13" s="541">
        <f t="shared" si="5"/>
        <v>-1775279.9458759972</v>
      </c>
      <c r="AA13" s="541">
        <f t="shared" si="5"/>
        <v>-2119120.6388879968</v>
      </c>
      <c r="AB13" s="541">
        <f t="shared" si="5"/>
        <v>-2515662.2971379957</v>
      </c>
      <c r="AC13" s="541">
        <f t="shared" si="5"/>
        <v>-3163911.9401459969</v>
      </c>
      <c r="AD13" s="541">
        <f t="shared" si="5"/>
        <v>-3819344.4755009972</v>
      </c>
      <c r="AE13" s="541">
        <f t="shared" si="5"/>
        <v>-4461427.0393109964</v>
      </c>
      <c r="AF13" s="541">
        <f t="shared" si="5"/>
        <v>-4465144.8993109968</v>
      </c>
    </row>
    <row r="14" spans="1:39" ht="16" thickTop="1">
      <c r="B14" s="481" t="s">
        <v>260</v>
      </c>
      <c r="E14" s="482" t="e">
        <f ca="1">_xll.Get_Balance(E3,"YTD","USD","Total","A","","001",$A$3,"GD","ID","DL")</f>
        <v>#NAME?</v>
      </c>
      <c r="F14" s="482" t="e">
        <f ca="1">_xll.Get_Balance(F3,"YTD","USD","Total","A","","001",$A$3,"GD","ID","DL")</f>
        <v>#NAME?</v>
      </c>
      <c r="G14" s="482" t="e">
        <f ca="1">_xll.Get_Balance(G3,"YTD","USD","Total","A","","001",$A$3,"GD","ID","DL")</f>
        <v>#NAME?</v>
      </c>
      <c r="H14" s="482" t="e">
        <f ca="1">_xll.Get_Balance(H3,"YTD","USD","Total","A","","001",$A$3,"GD","ID","DL")</f>
        <v>#NAME?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 t="e">
        <f ca="1">_xll.Get_Balance(S3,"YTD","USD","Total","A","","001",$A$3,"GD","ID","DL")</f>
        <v>#NAME?</v>
      </c>
      <c r="T14" s="482" t="e">
        <f ca="1">_xll.Get_Balance(T3,"YTD","USD","Total","A","","001",$A$3,"GD","ID","DL")</f>
        <v>#NAME?</v>
      </c>
      <c r="U14" s="482" t="e">
        <f ca="1">_xll.Get_Balance(U3,"YTD","USD","Total","A","","001",$A$3,"GD","ID","DL")</f>
        <v>#NAME?</v>
      </c>
      <c r="V14" s="482" t="e">
        <f ca="1">_xll.Get_Balance(V3,"YTD","USD","Total","A","","001",$A$3,"GD","ID","DL")</f>
        <v>#NAME?</v>
      </c>
      <c r="W14" s="482" t="e">
        <f ca="1">_xll.Get_Balance(W3,"YTD","USD","Total","A","","001",$A$3,"GD","ID","DL")</f>
        <v>#NAME?</v>
      </c>
      <c r="X14" s="482" t="e">
        <f ca="1">_xll.Get_Balance(X3,"YTD","USD","Total","A","","001",$A$3,"GD","ID","DL")</f>
        <v>#NAME?</v>
      </c>
      <c r="Y14" s="482" t="e">
        <f ca="1">_xll.Get_Balance(Y3,"YTD","USD","Total","A","","001",$A$3,"GD","ID","DL")</f>
        <v>#NAME?</v>
      </c>
      <c r="Z14" s="482" t="e">
        <f ca="1">_xll.Get_Balance(Z3,"YTD","USD","Total","A","","001",$A$3,"GD","ID","DL")</f>
        <v>#NAME?</v>
      </c>
      <c r="AA14" s="482" t="e">
        <f ca="1">_xll.Get_Balance(AA3,"YTD","USD","Total","A","","001",$A$3,"GD","ID","DL")</f>
        <v>#NAME?</v>
      </c>
      <c r="AB14" s="482" t="e">
        <f ca="1">_xll.Get_Balance(AB3,"YTD","USD","Total","A","","001",$A$3,"GD","ID","DL")</f>
        <v>#NAME?</v>
      </c>
      <c r="AC14" s="482" t="e">
        <f ca="1">_xll.Get_Balance(AC3,"YTD","USD","Total","A","","001",$A$3,"GD","ID","DL")</f>
        <v>#NAME?</v>
      </c>
      <c r="AD14" s="482" t="e">
        <f ca="1">_xll.Get_Balance(AD3,"YTD","USD","Total","A","","001",$A$3,"GD","ID","DL")</f>
        <v>#NAME?</v>
      </c>
      <c r="AE14" s="482" t="e">
        <f ca="1">_xll.Get_Balance(AE3,"YTD","USD","Total","A","","001",$A$3,"GD","ID","DL")</f>
        <v>#NAME?</v>
      </c>
      <c r="AF14" s="482" t="e">
        <f ca="1">_xll.Get_Balance(AF3,"YTD","USD","Total","A","","001",$A$3,"GD","ID","DL")</f>
        <v>#NAME?</v>
      </c>
    </row>
    <row r="15" spans="1:39">
      <c r="B15" s="481" t="s">
        <v>245</v>
      </c>
      <c r="E15" s="482" t="e">
        <f t="shared" ref="E15:H15" ca="1" si="6">E13-E14</f>
        <v>#NAME?</v>
      </c>
      <c r="F15" s="482" t="e">
        <f t="shared" ca="1" si="6"/>
        <v>#NAME?</v>
      </c>
      <c r="G15" s="482" t="e">
        <f t="shared" ca="1" si="6"/>
        <v>#NAME?</v>
      </c>
      <c r="H15" s="482" t="e">
        <f t="shared" ca="1" si="6"/>
        <v>#NAME?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 t="e">
        <f t="shared" ref="S15:T15" ca="1" si="7">S13-S14</f>
        <v>#NAME?</v>
      </c>
      <c r="T15" s="482" t="e">
        <f t="shared" ca="1" si="7"/>
        <v>#NAME?</v>
      </c>
      <c r="U15" s="482" t="e">
        <f ca="1">U13-U14</f>
        <v>#NAME?</v>
      </c>
      <c r="V15" s="482" t="e">
        <f ca="1">V13-V14</f>
        <v>#NAME?</v>
      </c>
      <c r="W15" s="482" t="e">
        <f t="shared" ref="W15:AF15" ca="1" si="8">W13-W14</f>
        <v>#NAME?</v>
      </c>
      <c r="X15" s="482" t="e">
        <f t="shared" ca="1" si="8"/>
        <v>#NAME?</v>
      </c>
      <c r="Y15" s="482" t="e">
        <f t="shared" ca="1" si="8"/>
        <v>#NAME?</v>
      </c>
      <c r="Z15" s="482" t="e">
        <f t="shared" ca="1" si="8"/>
        <v>#NAME?</v>
      </c>
      <c r="AA15" s="482" t="e">
        <f t="shared" ca="1" si="8"/>
        <v>#NAME?</v>
      </c>
      <c r="AB15" s="482" t="e">
        <f t="shared" ca="1" si="8"/>
        <v>#NAME?</v>
      </c>
      <c r="AC15" s="482" t="e">
        <f t="shared" ca="1" si="8"/>
        <v>#NAME?</v>
      </c>
      <c r="AD15" s="482" t="e">
        <f t="shared" ca="1" si="8"/>
        <v>#NAME?</v>
      </c>
      <c r="AE15" s="482" t="e">
        <f t="shared" ca="1" si="8"/>
        <v>#NAME?</v>
      </c>
      <c r="AF15" s="482" t="e">
        <f t="shared" ca="1" si="8"/>
        <v>#NAME?</v>
      </c>
    </row>
    <row r="16" spans="1:39">
      <c r="A16" s="483" t="s">
        <v>271</v>
      </c>
      <c r="U16" s="482" t="s">
        <v>330</v>
      </c>
    </row>
    <row r="17" spans="1:39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I17" s="558"/>
      <c r="AL17" s="482">
        <v>0</v>
      </c>
    </row>
    <row r="18" spans="1:39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9">U18+1</f>
        <v>201502</v>
      </c>
      <c r="W18" s="484">
        <f t="shared" si="9"/>
        <v>201503</v>
      </c>
      <c r="X18" s="484">
        <f t="shared" si="9"/>
        <v>201504</v>
      </c>
      <c r="Y18" s="484">
        <f t="shared" si="9"/>
        <v>201505</v>
      </c>
      <c r="Z18" s="484">
        <f t="shared" si="9"/>
        <v>201506</v>
      </c>
      <c r="AA18" s="484">
        <f t="shared" si="9"/>
        <v>201507</v>
      </c>
      <c r="AB18" s="484">
        <f t="shared" si="9"/>
        <v>201508</v>
      </c>
      <c r="AC18" s="484">
        <f t="shared" si="9"/>
        <v>201509</v>
      </c>
      <c r="AD18" s="484">
        <f t="shared" si="9"/>
        <v>201510</v>
      </c>
      <c r="AE18" s="484">
        <f t="shared" si="9"/>
        <v>201511</v>
      </c>
      <c r="AF18" s="484">
        <f t="shared" si="9"/>
        <v>201512</v>
      </c>
      <c r="AI18" s="558"/>
    </row>
    <row r="19" spans="1:39">
      <c r="A19" s="483"/>
      <c r="B19" s="481" t="s">
        <v>37</v>
      </c>
      <c r="C19" s="491">
        <f>SUM(U19:AF19)</f>
        <v>39097164</v>
      </c>
      <c r="D19" s="491">
        <f>SUM(F19:Q19)</f>
        <v>56675951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f>Jan!$K36</f>
        <v>8991869</v>
      </c>
      <c r="V19" s="491">
        <f>Feb!$K36</f>
        <v>5607449</v>
      </c>
      <c r="W19" s="491">
        <f>Mar!$K36</f>
        <v>5090227</v>
      </c>
      <c r="X19" s="491">
        <f>Apr!$K36</f>
        <v>3621515</v>
      </c>
      <c r="Y19" s="491">
        <f>May!$K36</f>
        <v>1624041</v>
      </c>
      <c r="Z19" s="491">
        <f>Jun!$K36</f>
        <v>985347</v>
      </c>
      <c r="AA19" s="491">
        <f>Jul!$K36</f>
        <v>990038</v>
      </c>
      <c r="AB19" s="491">
        <f>Aug!$K36</f>
        <v>930531</v>
      </c>
      <c r="AC19" s="491">
        <f>Sep!$K36</f>
        <v>1531464</v>
      </c>
      <c r="AD19" s="491">
        <f>Oct!$K36</f>
        <v>2476612</v>
      </c>
      <c r="AE19" s="491">
        <f>Nov!$K36</f>
        <v>7248071</v>
      </c>
      <c r="AF19" s="491">
        <f>Dec!$K36</f>
        <v>0</v>
      </c>
      <c r="AG19" s="491"/>
    </row>
    <row r="20" spans="1:39">
      <c r="A20" s="483"/>
      <c r="B20" s="481" t="s">
        <v>38</v>
      </c>
      <c r="C20" s="491">
        <f t="shared" ref="C20:C24" si="10">SUM(U20:AF20)</f>
        <v>18037646</v>
      </c>
      <c r="D20" s="491">
        <f>SUM(F20:Q20)</f>
        <v>22466066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f>Jan!$K37</f>
        <v>2818068</v>
      </c>
      <c r="V20" s="491">
        <f>Feb!$K37</f>
        <v>2333245</v>
      </c>
      <c r="W20" s="491">
        <f>Mar!$K37</f>
        <v>1927746</v>
      </c>
      <c r="X20" s="491">
        <f>Apr!$K37</f>
        <v>1633221</v>
      </c>
      <c r="Y20" s="491">
        <f>May!$K37</f>
        <v>1075904</v>
      </c>
      <c r="Z20" s="491">
        <f>Jun!$K37</f>
        <v>1089173</v>
      </c>
      <c r="AA20" s="491">
        <f>Jul!$K37</f>
        <v>964252</v>
      </c>
      <c r="AB20" s="491">
        <f>Aug!$K37</f>
        <v>1322423</v>
      </c>
      <c r="AC20" s="491">
        <f>Sep!$K37</f>
        <v>1101192</v>
      </c>
      <c r="AD20" s="491">
        <f>Oct!$K37</f>
        <v>1392647</v>
      </c>
      <c r="AE20" s="491">
        <f>Nov!$K37</f>
        <v>2379775</v>
      </c>
      <c r="AF20" s="491">
        <f>Dec!$K37</f>
        <v>0</v>
      </c>
      <c r="AG20" s="491"/>
    </row>
    <row r="21" spans="1:39">
      <c r="A21" s="483"/>
      <c r="B21" s="481" t="s">
        <v>39</v>
      </c>
      <c r="C21" s="491">
        <f t="shared" si="10"/>
        <v>0</v>
      </c>
      <c r="D21" s="491">
        <f>SUM(G21:R21)</f>
        <v>0</v>
      </c>
      <c r="E21" s="491"/>
      <c r="F21" s="491"/>
      <c r="G21" s="491"/>
      <c r="H21" s="491"/>
    </row>
    <row r="22" spans="1:39">
      <c r="A22" s="483"/>
      <c r="B22" s="481" t="s">
        <v>40</v>
      </c>
      <c r="C22" s="491">
        <f t="shared" si="10"/>
        <v>0</v>
      </c>
      <c r="D22" s="491">
        <f>SUM(G22:R22)</f>
        <v>0</v>
      </c>
      <c r="E22" s="491"/>
      <c r="F22" s="491"/>
      <c r="G22" s="491"/>
      <c r="H22" s="491"/>
    </row>
    <row r="23" spans="1:39">
      <c r="A23" s="483"/>
      <c r="B23" s="481" t="s">
        <v>41</v>
      </c>
      <c r="C23" s="491">
        <f t="shared" si="10"/>
        <v>0</v>
      </c>
      <c r="D23" s="491">
        <f>SUM(G23:R23)</f>
        <v>0</v>
      </c>
      <c r="E23" s="491"/>
      <c r="F23" s="491"/>
      <c r="G23" s="491"/>
      <c r="H23" s="491"/>
    </row>
    <row r="24" spans="1:39">
      <c r="A24" s="483"/>
      <c r="B24" s="481" t="s">
        <v>42</v>
      </c>
      <c r="C24" s="491">
        <f t="shared" si="10"/>
        <v>0</v>
      </c>
      <c r="D24" s="491">
        <f>SUM(F24:Q24)</f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f>Jan!$K41</f>
        <v>0</v>
      </c>
      <c r="V24" s="491">
        <f>Feb!$K41</f>
        <v>0</v>
      </c>
      <c r="W24" s="491">
        <f>Mar!$K41</f>
        <v>0</v>
      </c>
      <c r="X24" s="491">
        <f>Apr!$K41</f>
        <v>0</v>
      </c>
      <c r="Y24" s="491">
        <f>May!$K41</f>
        <v>0</v>
      </c>
      <c r="Z24" s="491">
        <f>Jun!$K41</f>
        <v>0</v>
      </c>
      <c r="AA24" s="491">
        <f>Jul!$K41</f>
        <v>0</v>
      </c>
      <c r="AB24" s="491">
        <f>Aug!$K41</f>
        <v>0</v>
      </c>
      <c r="AC24" s="491">
        <f>Sep!$K41</f>
        <v>0</v>
      </c>
      <c r="AD24" s="491">
        <f>Oct!$K41</f>
        <v>0</v>
      </c>
      <c r="AE24" s="491">
        <f>Nov!$K41</f>
        <v>0</v>
      </c>
      <c r="AF24" s="491">
        <f>Dec!$K41</f>
        <v>0</v>
      </c>
      <c r="AG24" s="491"/>
    </row>
    <row r="25" spans="1:39">
      <c r="A25" s="483"/>
      <c r="B25" s="481" t="s">
        <v>43</v>
      </c>
      <c r="C25" s="491">
        <f t="shared" ref="C25:C26" si="11">SUM(I25:T25)</f>
        <v>0</v>
      </c>
      <c r="D25" s="491">
        <f>SUM(G25:R25)</f>
        <v>0</v>
      </c>
      <c r="E25" s="491"/>
      <c r="F25" s="491"/>
      <c r="G25" s="491"/>
      <c r="H25" s="491"/>
    </row>
    <row r="26" spans="1:39">
      <c r="A26" s="483"/>
      <c r="B26" s="481" t="s">
        <v>74</v>
      </c>
      <c r="C26" s="491">
        <f t="shared" si="11"/>
        <v>0</v>
      </c>
      <c r="D26" s="491">
        <f>SUM(G26:R26)</f>
        <v>0</v>
      </c>
      <c r="E26" s="491"/>
      <c r="F26" s="491"/>
      <c r="G26" s="491"/>
      <c r="H26" s="491"/>
    </row>
    <row r="27" spans="1:39" ht="16" thickBot="1">
      <c r="A27" s="483"/>
      <c r="B27" s="481" t="s">
        <v>21</v>
      </c>
      <c r="C27" s="542">
        <f>SUM(U27:AF27)</f>
        <v>57134810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2">SUM(G19:G26)</f>
        <v>9508099</v>
      </c>
      <c r="H27" s="542">
        <f t="shared" si="12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F27" si="13">SUM(U19:U26)</f>
        <v>11809937</v>
      </c>
      <c r="V27" s="542">
        <f t="shared" si="13"/>
        <v>7940694</v>
      </c>
      <c r="W27" s="542">
        <f t="shared" si="13"/>
        <v>7017973</v>
      </c>
      <c r="X27" s="542">
        <f t="shared" si="13"/>
        <v>5254736</v>
      </c>
      <c r="Y27" s="542">
        <f t="shared" si="13"/>
        <v>2699945</v>
      </c>
      <c r="Z27" s="542">
        <f t="shared" si="13"/>
        <v>2074520</v>
      </c>
      <c r="AA27" s="542">
        <f t="shared" si="13"/>
        <v>1954290</v>
      </c>
      <c r="AB27" s="542">
        <f t="shared" si="13"/>
        <v>2252954</v>
      </c>
      <c r="AC27" s="542">
        <f t="shared" si="13"/>
        <v>2632656</v>
      </c>
      <c r="AD27" s="542">
        <f t="shared" si="13"/>
        <v>3869259</v>
      </c>
      <c r="AE27" s="542">
        <f t="shared" si="13"/>
        <v>9627846</v>
      </c>
      <c r="AF27" s="542">
        <f t="shared" si="13"/>
        <v>0</v>
      </c>
    </row>
    <row r="28" spans="1:39" ht="16" thickTop="1">
      <c r="A28" s="483"/>
      <c r="B28" s="481" t="s">
        <v>269</v>
      </c>
      <c r="C28" s="491">
        <f>SUM(U28:AF28)</f>
        <v>34723285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/>
      <c r="AA28" s="543"/>
      <c r="AB28" s="543"/>
      <c r="AC28" s="543"/>
      <c r="AD28" s="543"/>
      <c r="AE28" s="543"/>
      <c r="AF28" s="543"/>
    </row>
    <row r="29" spans="1:39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</row>
    <row r="30" spans="1:39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4">U30+1</f>
        <v>201502</v>
      </c>
      <c r="W30" s="484">
        <f t="shared" si="14"/>
        <v>201503</v>
      </c>
      <c r="X30" s="484">
        <f t="shared" si="14"/>
        <v>201504</v>
      </c>
      <c r="Y30" s="484">
        <f t="shared" si="14"/>
        <v>201505</v>
      </c>
      <c r="Z30" s="484">
        <f t="shared" si="14"/>
        <v>201506</v>
      </c>
      <c r="AA30" s="484">
        <f t="shared" si="14"/>
        <v>201507</v>
      </c>
      <c r="AB30" s="484">
        <f t="shared" si="14"/>
        <v>201508</v>
      </c>
      <c r="AC30" s="484">
        <f t="shared" si="14"/>
        <v>201509</v>
      </c>
      <c r="AD30" s="484">
        <f t="shared" si="14"/>
        <v>201510</v>
      </c>
      <c r="AE30" s="484">
        <f t="shared" si="14"/>
        <v>201511</v>
      </c>
      <c r="AF30" s="484">
        <f t="shared" si="14"/>
        <v>201512</v>
      </c>
    </row>
    <row r="31" spans="1:39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270</v>
      </c>
      <c r="AF31" s="492" t="s">
        <v>270</v>
      </c>
      <c r="AH31" s="707"/>
      <c r="AI31" s="708"/>
      <c r="AJ31" s="708"/>
      <c r="AK31" s="708"/>
      <c r="AL31" s="708"/>
      <c r="AM31" s="564"/>
    </row>
    <row r="32" spans="1:39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270</v>
      </c>
      <c r="AF32" s="492" t="s">
        <v>270</v>
      </c>
      <c r="AH32" s="708"/>
      <c r="AI32" s="708"/>
      <c r="AJ32" s="708"/>
      <c r="AK32" s="708"/>
      <c r="AL32" s="708"/>
    </row>
    <row r="33" spans="1:39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H33" s="708"/>
      <c r="AI33" s="708"/>
      <c r="AJ33" s="708"/>
      <c r="AK33" s="708"/>
      <c r="AL33" s="708"/>
    </row>
    <row r="34" spans="1:39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H34" s="708"/>
      <c r="AI34" s="708"/>
      <c r="AJ34" s="708"/>
      <c r="AK34" s="708"/>
      <c r="AL34" s="708"/>
    </row>
    <row r="35" spans="1:39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H35" s="708"/>
      <c r="AI35" s="708"/>
      <c r="AJ35" s="708"/>
      <c r="AK35" s="708"/>
      <c r="AL35" s="708"/>
    </row>
    <row r="36" spans="1:39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270</v>
      </c>
      <c r="AF36" s="492" t="s">
        <v>270</v>
      </c>
      <c r="AH36" s="708"/>
      <c r="AI36" s="708"/>
      <c r="AJ36" s="708"/>
      <c r="AK36" s="708"/>
      <c r="AL36" s="708"/>
    </row>
    <row r="37" spans="1:39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</row>
    <row r="38" spans="1:39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</row>
    <row r="39" spans="1:39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H39" s="564"/>
    </row>
    <row r="40" spans="1:39" s="483" customFormat="1" ht="16" thickBot="1">
      <c r="A40" s="536">
        <v>191000</v>
      </c>
      <c r="B40" s="485" t="s">
        <v>256</v>
      </c>
      <c r="C40" s="486" t="s">
        <v>251</v>
      </c>
      <c r="D40" s="682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5">U40+1</f>
        <v>201502</v>
      </c>
      <c r="W40" s="484">
        <f t="shared" si="15"/>
        <v>201503</v>
      </c>
      <c r="X40" s="484">
        <f t="shared" si="15"/>
        <v>201504</v>
      </c>
      <c r="Y40" s="484">
        <f t="shared" si="15"/>
        <v>201505</v>
      </c>
      <c r="Z40" s="484">
        <f t="shared" si="15"/>
        <v>201506</v>
      </c>
      <c r="AA40" s="484">
        <f t="shared" si="15"/>
        <v>201507</v>
      </c>
      <c r="AB40" s="484">
        <f t="shared" si="15"/>
        <v>201508</v>
      </c>
      <c r="AC40" s="484">
        <f t="shared" si="15"/>
        <v>201509</v>
      </c>
      <c r="AD40" s="484">
        <f t="shared" si="15"/>
        <v>201510</v>
      </c>
      <c r="AE40" s="484">
        <f t="shared" si="15"/>
        <v>201511</v>
      </c>
      <c r="AF40" s="484">
        <f t="shared" si="15"/>
        <v>201512</v>
      </c>
      <c r="AH40" s="564"/>
      <c r="AI40" s="484"/>
    </row>
    <row r="41" spans="1:39" s="483" customFormat="1" ht="16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H41" s="513">
        <f>AH4</f>
        <v>201505</v>
      </c>
      <c r="AI41" s="526"/>
      <c r="AJ41" s="514"/>
      <c r="AK41" s="514"/>
      <c r="AL41" s="514"/>
      <c r="AM41" s="515"/>
    </row>
    <row r="42" spans="1:39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f>T47</f>
        <v>-1737468.3702166961</v>
      </c>
      <c r="V42" s="482">
        <f>U47</f>
        <v>-1379625.346046696</v>
      </c>
      <c r="W42" s="482">
        <f t="shared" ref="W42:AE42" si="16">V47</f>
        <v>-1139196.8415066958</v>
      </c>
      <c r="X42" s="482">
        <f t="shared" si="16"/>
        <v>-927936.74257669575</v>
      </c>
      <c r="Y42" s="482">
        <f t="shared" si="16"/>
        <v>-767403.9580847763</v>
      </c>
      <c r="Z42" s="482">
        <f t="shared" si="16"/>
        <v>-685903.92338007619</v>
      </c>
      <c r="AA42" s="482">
        <f t="shared" si="16"/>
        <v>-623363.07088572613</v>
      </c>
      <c r="AB42" s="482">
        <f t="shared" si="16"/>
        <v>-564427.81872858922</v>
      </c>
      <c r="AC42" s="482">
        <f t="shared" si="16"/>
        <v>-496357.29729955469</v>
      </c>
      <c r="AD42" s="482">
        <f t="shared" si="16"/>
        <v>-416678.50147523766</v>
      </c>
      <c r="AE42" s="482">
        <f t="shared" si="16"/>
        <v>-299312.54063388787</v>
      </c>
      <c r="AF42" s="482">
        <f>AE47</f>
        <v>-299561.96775108279</v>
      </c>
      <c r="AH42" s="497" t="s">
        <v>308</v>
      </c>
      <c r="AI42" s="527">
        <v>419600</v>
      </c>
      <c r="AJ42" s="498" t="s">
        <v>288</v>
      </c>
      <c r="AK42" s="498" t="s">
        <v>291</v>
      </c>
      <c r="AL42" s="519">
        <v>0</v>
      </c>
      <c r="AM42" s="520">
        <f>IF(SUMIF(U40:AF40,AH41,U44:AF44)&gt;0,SUMIF(U40:AF40,AH41,U44:AF44),0)</f>
        <v>0</v>
      </c>
    </row>
    <row r="43" spans="1:39">
      <c r="B43" s="481" t="s">
        <v>23</v>
      </c>
      <c r="C43" s="482">
        <f>SUM(U43:AF43)</f>
        <v>1444686.7752400001</v>
      </c>
      <c r="D43" s="491">
        <f>SUM(F43:Q43)</f>
        <v>-10808.645800000002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17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Z43" si="18">SUMPRODUCT(V19:V26,V31:V38)</f>
        <v>241476.50453999999</v>
      </c>
      <c r="W43" s="482">
        <f t="shared" si="18"/>
        <v>213416.55893</v>
      </c>
      <c r="X43" s="482">
        <f t="shared" si="18"/>
        <v>159796.52176</v>
      </c>
      <c r="Y43" s="482">
        <f t="shared" si="18"/>
        <v>82105.327449999997</v>
      </c>
      <c r="Z43" s="482">
        <f t="shared" si="18"/>
        <v>63086.153200000001</v>
      </c>
      <c r="AA43" s="482">
        <f>SUMPRODUCT(AA19:AA26,AA31:AA38)</f>
        <v>59429.958899999998</v>
      </c>
      <c r="AB43" s="482">
        <f t="shared" ref="AB43:AD43" si="19">SUMPRODUCT(AB19:AB26,AB31:AB38)</f>
        <v>68512.331139999995</v>
      </c>
      <c r="AC43" s="482">
        <f t="shared" si="19"/>
        <v>80059.068960000004</v>
      </c>
      <c r="AD43" s="482">
        <f t="shared" si="19"/>
        <v>117664.16618999999</v>
      </c>
      <c r="AE43" s="563"/>
      <c r="AF43" s="563"/>
      <c r="AH43" s="499" t="s">
        <v>309</v>
      </c>
      <c r="AI43" s="528">
        <v>431600</v>
      </c>
      <c r="AJ43" s="358" t="s">
        <v>288</v>
      </c>
      <c r="AK43" s="358" t="s">
        <v>291</v>
      </c>
      <c r="AL43" s="381">
        <f>IF(SUMIF(U40:AF40,AH41,U44:AF44)&lt;0,-SUMIF(U40:AF40,AH41,U44:AF44),0)</f>
        <v>605.29274529981353</v>
      </c>
      <c r="AM43" s="500">
        <v>0</v>
      </c>
    </row>
    <row r="44" spans="1:39">
      <c r="B44" s="481" t="s">
        <v>4</v>
      </c>
      <c r="C44" s="482">
        <f t="shared" ref="C44:C46" si="20">SUM(U44:AF44)</f>
        <v>-7174.6277475130237</v>
      </c>
      <c r="D44" s="491">
        <f>SUM(F44:Q44)</f>
        <v>1068.3629816064952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f>(((X42+X46)*(X41/12))+((X43/2)*(X41/12)))</f>
        <v>-705.49726808057983</v>
      </c>
      <c r="Y44" s="489">
        <f t="shared" ref="Y44:AD44" si="21">((Y42*(Y41/12))+((Y43/2)*(Y41/12)))</f>
        <v>-605.29274529981353</v>
      </c>
      <c r="Z44" s="489">
        <f t="shared" si="21"/>
        <v>-545.30070565006349</v>
      </c>
      <c r="AA44" s="489">
        <f t="shared" si="21"/>
        <v>-494.70674286310515</v>
      </c>
      <c r="AB44" s="489">
        <f t="shared" si="21"/>
        <v>-441.80971096549104</v>
      </c>
      <c r="AC44" s="489">
        <f t="shared" si="21"/>
        <v>-380.27313568296228</v>
      </c>
      <c r="AD44" s="489">
        <f t="shared" si="21"/>
        <v>-298.20534865019806</v>
      </c>
      <c r="AE44" s="560">
        <f>((AE42+AE45)*(AE41/12))+(((AE43+AE46)/2)*(AE41/12))</f>
        <v>-249.42711719490657</v>
      </c>
      <c r="AF44" s="560">
        <f t="shared" ref="AF44" si="22">((AF42*(AF41/12))+((AF43/2)*(AF41/12)))</f>
        <v>-249.63497312590235</v>
      </c>
      <c r="AH44" s="499" t="s">
        <v>310</v>
      </c>
      <c r="AI44" s="528">
        <v>191000</v>
      </c>
      <c r="AJ44" s="358" t="s">
        <v>288</v>
      </c>
      <c r="AK44" s="358" t="s">
        <v>291</v>
      </c>
      <c r="AL44" s="381">
        <f>IF((SUMIF(U40:AF40,AH41,U43:AF43)+SUMIF(U40:AF40,AH41,U44:AF44))&gt;0,(SUMIF(U40:AF40,AH41,U43:AF43)+SUMIF(U40:AF40,AH41,U44:AF44)),0)</f>
        <v>81500.034704700185</v>
      </c>
      <c r="AM44" s="500">
        <f>IF((SUMIF(U40:AF40,AH41,U43:AF43)+SUMIF(U40:AF40,AH41,U44:AF44))&lt;0,-(SUMIF(U40:AF40,AH41,U43:AF43)+SUMIF(U40:AF40,AH41,U44:AF44)),0)</f>
        <v>0</v>
      </c>
    </row>
    <row r="45" spans="1:39">
      <c r="B45" s="481" t="s">
        <v>259</v>
      </c>
      <c r="C45" s="482">
        <f t="shared" si="20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63">
        <f>-AE9-AE10-AE11</f>
        <v>0</v>
      </c>
      <c r="AF45" s="563">
        <v>0</v>
      </c>
      <c r="AH45" s="499" t="s">
        <v>311</v>
      </c>
      <c r="AI45" s="528">
        <v>805110</v>
      </c>
      <c r="AJ45" s="358" t="s">
        <v>288</v>
      </c>
      <c r="AK45" s="358" t="s">
        <v>291</v>
      </c>
      <c r="AL45" s="381">
        <f>IF((SUMIF(U40:AF40,AH41,U43:AF43))&lt;0,-(SUMIF(U40:AF40,AH41,U43:AF43)),0)</f>
        <v>0</v>
      </c>
      <c r="AM45" s="500">
        <f>IF((SUMIF(U40:AF40,AH41,U43:AF43))&gt;0,(SUMIF(U40:AF40,AH41,U43:AF43)),0)</f>
        <v>82105.327449999997</v>
      </c>
    </row>
    <row r="46" spans="1:39">
      <c r="B46" s="481" t="s">
        <v>148</v>
      </c>
      <c r="C46" s="482">
        <f t="shared" si="20"/>
        <v>144.61999999999989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63"/>
      <c r="AF46" s="563">
        <f>-AE46*2</f>
        <v>0</v>
      </c>
      <c r="AH46" s="499" t="s">
        <v>156</v>
      </c>
      <c r="AI46" s="528">
        <f t="shared" ref="AI46:AK47" si="23">AI44</f>
        <v>191000</v>
      </c>
      <c r="AJ46" s="528" t="str">
        <f t="shared" si="23"/>
        <v>GD</v>
      </c>
      <c r="AK46" s="528" t="str">
        <f t="shared" si="23"/>
        <v>ID</v>
      </c>
      <c r="AL46" s="381">
        <v>0</v>
      </c>
      <c r="AM46" s="500"/>
    </row>
    <row r="47" spans="1:39" ht="16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24">SUM(F42:F46)</f>
        <v>122203.74560073584</v>
      </c>
      <c r="G47" s="541">
        <f t="shared" si="24"/>
        <v>121907.05607206978</v>
      </c>
      <c r="H47" s="541">
        <f t="shared" si="24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F47" si="25">SUM(V42:V46)</f>
        <v>-1139196.8415066958</v>
      </c>
      <c r="W47" s="541">
        <f t="shared" si="25"/>
        <v>-927936.74257669575</v>
      </c>
      <c r="X47" s="541">
        <f t="shared" si="25"/>
        <v>-767403.9580847763</v>
      </c>
      <c r="Y47" s="541">
        <f t="shared" si="25"/>
        <v>-685903.92338007619</v>
      </c>
      <c r="Z47" s="541">
        <f t="shared" si="25"/>
        <v>-623363.07088572613</v>
      </c>
      <c r="AA47" s="541">
        <f t="shared" si="25"/>
        <v>-564427.81872858922</v>
      </c>
      <c r="AB47" s="541">
        <f t="shared" si="25"/>
        <v>-496357.29729955469</v>
      </c>
      <c r="AC47" s="541">
        <f t="shared" si="25"/>
        <v>-416678.50147523766</v>
      </c>
      <c r="AD47" s="541">
        <f t="shared" si="25"/>
        <v>-299312.54063388787</v>
      </c>
      <c r="AE47" s="541">
        <f t="shared" si="25"/>
        <v>-299561.96775108279</v>
      </c>
      <c r="AF47" s="541">
        <f t="shared" si="25"/>
        <v>-299811.60272420867</v>
      </c>
      <c r="AH47" s="501" t="str">
        <f>AH46</f>
        <v>Large Customer Refund</v>
      </c>
      <c r="AI47" s="529">
        <f t="shared" si="23"/>
        <v>805110</v>
      </c>
      <c r="AJ47" s="529" t="str">
        <f t="shared" si="23"/>
        <v>GD</v>
      </c>
      <c r="AK47" s="529" t="str">
        <f t="shared" si="23"/>
        <v>ID</v>
      </c>
      <c r="AL47" s="503"/>
      <c r="AM47" s="521">
        <v>0</v>
      </c>
    </row>
    <row r="48" spans="1:39" ht="16.5" thickTop="1" thickBot="1">
      <c r="B48" s="481" t="s">
        <v>260</v>
      </c>
      <c r="E48" s="482" t="e">
        <f ca="1">_xll.Get_Balance(E40,"YTD","USD","Total","A","","001",$A$40,"GD","ID","DL")</f>
        <v>#NAME?</v>
      </c>
      <c r="F48" s="482" t="e">
        <f ca="1">_xll.Get_Balance(F40,"YTD","USD","Total","A","","001",$A$40,"GD","ID","DL")</f>
        <v>#NAME?</v>
      </c>
      <c r="G48" s="482" t="e">
        <f ca="1">_xll.Get_Balance(G40,"YTD","USD","Total","A","","001",$A$40,"GD","ID","DL")</f>
        <v>#NAME?</v>
      </c>
      <c r="H48" s="482" t="e">
        <f ca="1">_xll.Get_Balance(H40,"YTD","USD","Total","A","","001",$A$40,"GD","ID","DL")</f>
        <v>#NAME?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 t="e">
        <f ca="1">_xll.Get_Balance(S40,"YTD","USD","Total","A","","001",$A$40,"GD","ID","DL")</f>
        <v>#NAME?</v>
      </c>
      <c r="T48" s="482" t="e">
        <f ca="1">_xll.Get_Balance(T40,"YTD","USD","Total","A","","001",$A$40,"GD","ID","DL")</f>
        <v>#NAME?</v>
      </c>
      <c r="U48" s="482" t="e">
        <f ca="1">_xll.Get_Balance(U40,"YTD","USD","Total","A","","001",$A$40,"GD","ID","DL")</f>
        <v>#NAME?</v>
      </c>
      <c r="V48" s="482" t="e">
        <f ca="1">_xll.Get_Balance(V40,"YTD","USD","Total","A","","001",$A$40,"GD","ID","DL")</f>
        <v>#NAME?</v>
      </c>
      <c r="W48" s="482" t="e">
        <f ca="1">_xll.Get_Balance(W40,"YTD","USD","Total","A","","001",$A$40,"GD","ID","DL")</f>
        <v>#NAME?</v>
      </c>
      <c r="X48" s="482" t="e">
        <f ca="1">_xll.Get_Balance(X40,"YTD","USD","Total","A","","001",$A$40,"GD","ID","DL")</f>
        <v>#NAME?</v>
      </c>
      <c r="Y48" s="482" t="e">
        <f ca="1">_xll.Get_Balance(Y40,"YTD","USD","Total","A","","001",$A$40,"GD","ID","DL")</f>
        <v>#NAME?</v>
      </c>
      <c r="Z48" s="482" t="e">
        <f ca="1">_xll.Get_Balance(Z40,"YTD","USD","Total","A","","001",$A$40,"GD","ID","DL")</f>
        <v>#NAME?</v>
      </c>
      <c r="AA48" s="482" t="e">
        <f ca="1">_xll.Get_Balance(AA40,"YTD","USD","Total","A","","001",$A$40,"GD","ID","DL")</f>
        <v>#NAME?</v>
      </c>
      <c r="AB48" s="482" t="e">
        <f ca="1">_xll.Get_Balance(AB40,"YTD","USD","Total","A","","001",$A$40,"GD","ID","DL")</f>
        <v>#NAME?</v>
      </c>
      <c r="AC48" s="482" t="e">
        <f ca="1">_xll.Get_Balance(AC40,"YTD","USD","Total","A","","001",$A$40,"GD","ID","DL")</f>
        <v>#NAME?</v>
      </c>
      <c r="AD48" s="482" t="e">
        <f ca="1">_xll.Get_Balance(AD40,"YTD","USD","Total","A","","001",$A$40,"GD","ID","DL")</f>
        <v>#NAME?</v>
      </c>
      <c r="AE48" s="482" t="e">
        <f ca="1">_xll.Get_Balance(AE40,"YTD","USD","Total","A","","001",$A$40,"GD","ID","DL")</f>
        <v>#NAME?</v>
      </c>
      <c r="AF48" s="482" t="e">
        <f ca="1">_xll.Get_Balance(AF40,"YTD","USD","Total","A","","001",$A$40,"GD","ID","DL")</f>
        <v>#NAME?</v>
      </c>
      <c r="AH48" s="516"/>
      <c r="AI48" s="530"/>
      <c r="AJ48" s="517"/>
      <c r="AK48" s="517"/>
      <c r="AL48" s="517" t="s">
        <v>159</v>
      </c>
      <c r="AM48" s="518">
        <f>SUM(AL42:AL47)-SUM(AM42:AM47)</f>
        <v>0</v>
      </c>
    </row>
    <row r="49" spans="1:33">
      <c r="B49" s="481" t="s">
        <v>245</v>
      </c>
      <c r="E49" s="482" t="e">
        <f t="shared" ref="E49:H49" ca="1" si="26">E47-E48</f>
        <v>#NAME?</v>
      </c>
      <c r="F49" s="482" t="e">
        <f t="shared" ca="1" si="26"/>
        <v>#NAME?</v>
      </c>
      <c r="G49" s="482" t="e">
        <f t="shared" ca="1" si="26"/>
        <v>#NAME?</v>
      </c>
      <c r="H49" s="482" t="e">
        <f t="shared" ca="1" si="26"/>
        <v>#NAME?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 t="e">
        <f ca="1">S47-S48</f>
        <v>#NAME?</v>
      </c>
      <c r="T49" s="482" t="e">
        <f ca="1">T47-T48</f>
        <v>#NAME?</v>
      </c>
      <c r="U49" s="482" t="e">
        <f ca="1">U47-U48</f>
        <v>#NAME?</v>
      </c>
      <c r="V49" s="482" t="e">
        <f t="shared" ref="V49:AG49" ca="1" si="27">V47-V48</f>
        <v>#NAME?</v>
      </c>
      <c r="W49" s="482" t="e">
        <f t="shared" ca="1" si="27"/>
        <v>#NAME?</v>
      </c>
      <c r="X49" s="482" t="e">
        <f t="shared" ca="1" si="27"/>
        <v>#NAME?</v>
      </c>
      <c r="Y49" s="482" t="e">
        <f t="shared" ca="1" si="27"/>
        <v>#NAME?</v>
      </c>
      <c r="Z49" s="482" t="e">
        <f t="shared" ca="1" si="27"/>
        <v>#NAME?</v>
      </c>
      <c r="AA49" s="482" t="e">
        <f t="shared" ca="1" si="27"/>
        <v>#NAME?</v>
      </c>
      <c r="AB49" s="482" t="e">
        <f t="shared" ca="1" si="27"/>
        <v>#NAME?</v>
      </c>
      <c r="AC49" s="482" t="e">
        <f t="shared" ca="1" si="27"/>
        <v>#NAME?</v>
      </c>
      <c r="AD49" s="482" t="e">
        <f t="shared" ca="1" si="27"/>
        <v>#NAME?</v>
      </c>
      <c r="AE49" s="482" t="e">
        <f t="shared" ca="1" si="27"/>
        <v>#NAME?</v>
      </c>
      <c r="AF49" s="482" t="e">
        <f t="shared" ca="1" si="27"/>
        <v>#NAME?</v>
      </c>
      <c r="AG49" s="482">
        <f t="shared" si="27"/>
        <v>0</v>
      </c>
    </row>
    <row r="50" spans="1:33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</row>
    <row r="51" spans="1:33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28">U51+1</f>
        <v>201502</v>
      </c>
      <c r="W51" s="484">
        <f t="shared" si="28"/>
        <v>201503</v>
      </c>
      <c r="X51" s="484">
        <f t="shared" si="28"/>
        <v>201504</v>
      </c>
      <c r="Y51" s="484">
        <f t="shared" si="28"/>
        <v>201505</v>
      </c>
      <c r="Z51" s="484">
        <f t="shared" si="28"/>
        <v>201506</v>
      </c>
      <c r="AA51" s="484">
        <f t="shared" si="28"/>
        <v>201507</v>
      </c>
      <c r="AB51" s="484">
        <f t="shared" si="28"/>
        <v>201508</v>
      </c>
      <c r="AC51" s="484">
        <f t="shared" si="28"/>
        <v>201509</v>
      </c>
      <c r="AD51" s="484">
        <f t="shared" si="28"/>
        <v>201510</v>
      </c>
      <c r="AE51" s="484">
        <f t="shared" si="28"/>
        <v>201511</v>
      </c>
      <c r="AF51" s="484">
        <f t="shared" si="28"/>
        <v>201512</v>
      </c>
    </row>
    <row r="52" spans="1:33">
      <c r="A52" s="483"/>
      <c r="B52" s="481" t="s">
        <v>37</v>
      </c>
      <c r="C52" s="491">
        <f>SUM(U52:AF52)</f>
        <v>39097164</v>
      </c>
      <c r="D52" s="491">
        <f>SUM(F52:Q52)</f>
        <v>52384687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f>Jan!$K36</f>
        <v>8991869</v>
      </c>
      <c r="V52" s="491">
        <f>Feb!$K36</f>
        <v>5607449</v>
      </c>
      <c r="W52" s="491">
        <f>Mar!$K36</f>
        <v>5090227</v>
      </c>
      <c r="X52" s="491">
        <f>Apr!$K36</f>
        <v>3621515</v>
      </c>
      <c r="Y52" s="491">
        <f>May!$K36</f>
        <v>1624041</v>
      </c>
      <c r="Z52" s="491">
        <f>Jun!$K36</f>
        <v>985347</v>
      </c>
      <c r="AA52" s="491">
        <f>Jul!$K36</f>
        <v>990038</v>
      </c>
      <c r="AB52" s="491">
        <f>Aug!$K36</f>
        <v>930531</v>
      </c>
      <c r="AC52" s="491">
        <f>Sep!$K36</f>
        <v>1531464</v>
      </c>
      <c r="AD52" s="491">
        <f>Oct!$K36</f>
        <v>2476612</v>
      </c>
      <c r="AE52" s="491">
        <f>Nov!$K36</f>
        <v>7248071</v>
      </c>
      <c r="AF52" s="491">
        <f>Dec!$K36</f>
        <v>0</v>
      </c>
      <c r="AG52" s="491">
        <f>Jan!$K36</f>
        <v>8991869</v>
      </c>
    </row>
    <row r="53" spans="1:33">
      <c r="A53" s="483"/>
      <c r="B53" s="481" t="s">
        <v>38</v>
      </c>
      <c r="C53" s="491">
        <f t="shared" ref="C53:C60" si="29">SUM(U53:AF53)</f>
        <v>18037646</v>
      </c>
      <c r="D53" s="491">
        <f>SUM(F53:Q53)</f>
        <v>20863784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f>Jan!$K37</f>
        <v>2818068</v>
      </c>
      <c r="V53" s="491">
        <f>Feb!$K37</f>
        <v>2333245</v>
      </c>
      <c r="W53" s="491">
        <f>Mar!$K37</f>
        <v>1927746</v>
      </c>
      <c r="X53" s="491">
        <f>Apr!$K37</f>
        <v>1633221</v>
      </c>
      <c r="Y53" s="491">
        <f>May!$K37</f>
        <v>1075904</v>
      </c>
      <c r="Z53" s="491">
        <f>Jun!$K37</f>
        <v>1089173</v>
      </c>
      <c r="AA53" s="491">
        <f>Jul!$K37</f>
        <v>964252</v>
      </c>
      <c r="AB53" s="491">
        <f>Aug!$K37</f>
        <v>1322423</v>
      </c>
      <c r="AC53" s="491">
        <f>Sep!$K37</f>
        <v>1101192</v>
      </c>
      <c r="AD53" s="491">
        <f>Oct!$K37</f>
        <v>1392647</v>
      </c>
      <c r="AE53" s="491">
        <f>Nov!$K37</f>
        <v>2379775</v>
      </c>
      <c r="AF53" s="491">
        <f>Dec!$K37</f>
        <v>0</v>
      </c>
      <c r="AG53" s="491">
        <f>Jan!$K37</f>
        <v>2818068</v>
      </c>
    </row>
    <row r="54" spans="1:33">
      <c r="A54" s="483"/>
      <c r="B54" s="481" t="s">
        <v>39</v>
      </c>
      <c r="C54" s="491">
        <f t="shared" si="29"/>
        <v>246353</v>
      </c>
      <c r="D54" s="491">
        <f>SUM(F54:Q54)</f>
        <v>216282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f>Jan!$K38</f>
        <v>2994</v>
      </c>
      <c r="V54" s="491">
        <f>Feb!$K38</f>
        <v>1973</v>
      </c>
      <c r="W54" s="491">
        <f>Mar!$K38</f>
        <v>871</v>
      </c>
      <c r="X54" s="491">
        <f>Apr!$K38</f>
        <v>5610</v>
      </c>
      <c r="Y54" s="491">
        <f>May!$K38</f>
        <v>18173</v>
      </c>
      <c r="Z54" s="491">
        <f>Jun!$K38</f>
        <v>21920</v>
      </c>
      <c r="AA54" s="491">
        <f>Jul!$K38</f>
        <v>28026</v>
      </c>
      <c r="AB54" s="491">
        <f>Aug!$K38</f>
        <v>47622</v>
      </c>
      <c r="AC54" s="491">
        <f>Sep!$K38</f>
        <v>26734</v>
      </c>
      <c r="AD54" s="491">
        <f>Oct!$K38</f>
        <v>68934</v>
      </c>
      <c r="AE54" s="491">
        <f>Nov!$K38</f>
        <v>23496</v>
      </c>
      <c r="AF54" s="491">
        <f>Dec!$K38</f>
        <v>0</v>
      </c>
      <c r="AG54" s="491">
        <f>Jan!$K38</f>
        <v>2994</v>
      </c>
    </row>
    <row r="55" spans="1:33">
      <c r="A55" s="483"/>
      <c r="B55" s="481" t="s">
        <v>40</v>
      </c>
      <c r="C55" s="491">
        <f t="shared" si="29"/>
        <v>0</v>
      </c>
      <c r="D55" s="491">
        <f>SUM(F55:Q55)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f>Jan!$K39</f>
        <v>0</v>
      </c>
      <c r="V55" s="491">
        <f>Feb!$K39</f>
        <v>0</v>
      </c>
      <c r="W55" s="491">
        <f>Mar!$K39</f>
        <v>0</v>
      </c>
      <c r="X55" s="491">
        <f>Apr!$K39</f>
        <v>0</v>
      </c>
      <c r="Y55" s="491">
        <f>May!$K39</f>
        <v>0</v>
      </c>
      <c r="Z55" s="491">
        <f>Jun!$K39</f>
        <v>0</v>
      </c>
      <c r="AA55" s="491">
        <f>Jul!$K39</f>
        <v>0</v>
      </c>
      <c r="AB55" s="491">
        <f>Aug!$K39</f>
        <v>0</v>
      </c>
      <c r="AC55" s="491">
        <f>Sep!$K39</f>
        <v>0</v>
      </c>
      <c r="AD55" s="491">
        <f>Oct!$K39</f>
        <v>0</v>
      </c>
      <c r="AE55" s="491">
        <f>Nov!$K39</f>
        <v>0</v>
      </c>
      <c r="AF55" s="491">
        <f>Dec!$K39</f>
        <v>0</v>
      </c>
      <c r="AG55" s="491">
        <f>Jan!$K39</f>
        <v>0</v>
      </c>
    </row>
    <row r="56" spans="1:33">
      <c r="A56" s="483"/>
      <c r="B56" s="481" t="s">
        <v>41</v>
      </c>
      <c r="C56" s="491">
        <f t="shared" si="29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</row>
    <row r="57" spans="1:33">
      <c r="A57" s="483"/>
      <c r="B57" s="481" t="s">
        <v>42</v>
      </c>
      <c r="C57" s="491">
        <f t="shared" si="29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</row>
    <row r="58" spans="1:33">
      <c r="A58" s="483"/>
      <c r="B58" s="481" t="s">
        <v>43</v>
      </c>
      <c r="C58" s="491">
        <f t="shared" si="29"/>
        <v>148273</v>
      </c>
      <c r="D58" s="491">
        <f>SUM(F58:Q58)</f>
        <v>312916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f>Jan!$K42</f>
        <v>40458</v>
      </c>
      <c r="V58" s="491">
        <f>Feb!$K42</f>
        <v>33212</v>
      </c>
      <c r="W58" s="491">
        <f>Mar!$K42</f>
        <v>33140</v>
      </c>
      <c r="X58" s="491">
        <f>Apr!$K42</f>
        <v>25684</v>
      </c>
      <c r="Y58" s="491">
        <f>May!$K42</f>
        <v>15779</v>
      </c>
      <c r="Z58" s="491">
        <f>Jun!$K42</f>
        <v>0</v>
      </c>
      <c r="AA58" s="491">
        <f>Jul!$K42</f>
        <v>0</v>
      </c>
      <c r="AB58" s="491">
        <f>Aug!$K42</f>
        <v>0</v>
      </c>
      <c r="AC58" s="491">
        <f>Sep!$K42</f>
        <v>0</v>
      </c>
      <c r="AD58" s="491">
        <f>Oct!$K42</f>
        <v>0</v>
      </c>
      <c r="AE58" s="491">
        <f>Nov!$K42</f>
        <v>0</v>
      </c>
      <c r="AF58" s="491">
        <f>Dec!$K42</f>
        <v>0</v>
      </c>
      <c r="AG58" s="491">
        <f>Jan!$K42</f>
        <v>40458</v>
      </c>
    </row>
    <row r="59" spans="1:33">
      <c r="A59" s="483"/>
      <c r="B59" s="481" t="s">
        <v>74</v>
      </c>
      <c r="C59" s="491">
        <f t="shared" ref="C59" si="30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</row>
    <row r="60" spans="1:33" ht="16" thickBot="1">
      <c r="A60" s="483"/>
      <c r="B60" s="481" t="s">
        <v>21</v>
      </c>
      <c r="C60" s="542">
        <f t="shared" si="29"/>
        <v>57529436</v>
      </c>
      <c r="D60" s="542">
        <f>SUM(F60:Q60)</f>
        <v>73777669</v>
      </c>
      <c r="E60" s="542" t="s">
        <v>272</v>
      </c>
      <c r="F60" s="542">
        <f>SUM(F52:F59)</f>
        <v>0</v>
      </c>
      <c r="G60" s="542">
        <f t="shared" ref="G60:H60" si="31">SUM(G52:G59)</f>
        <v>9560411</v>
      </c>
      <c r="H60" s="542">
        <f t="shared" si="31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F60" si="32">SUM(U52:U59)</f>
        <v>11853389</v>
      </c>
      <c r="V60" s="542">
        <f t="shared" si="32"/>
        <v>7975879</v>
      </c>
      <c r="W60" s="542">
        <f t="shared" si="32"/>
        <v>7051984</v>
      </c>
      <c r="X60" s="542">
        <f t="shared" si="32"/>
        <v>5286030</v>
      </c>
      <c r="Y60" s="542">
        <f t="shared" si="32"/>
        <v>2733897</v>
      </c>
      <c r="Z60" s="542">
        <f t="shared" si="32"/>
        <v>2096440</v>
      </c>
      <c r="AA60" s="542">
        <f t="shared" si="32"/>
        <v>1982316</v>
      </c>
      <c r="AB60" s="542">
        <f t="shared" si="32"/>
        <v>2300576</v>
      </c>
      <c r="AC60" s="542">
        <f t="shared" si="32"/>
        <v>2659390</v>
      </c>
      <c r="AD60" s="542">
        <f t="shared" si="32"/>
        <v>3938193</v>
      </c>
      <c r="AE60" s="542">
        <f t="shared" si="32"/>
        <v>9651342</v>
      </c>
      <c r="AF60" s="542">
        <f t="shared" si="32"/>
        <v>0</v>
      </c>
    </row>
    <row r="61" spans="1:33" ht="16" thickTop="1">
      <c r="A61" s="483"/>
      <c r="B61" s="481" t="s">
        <v>269</v>
      </c>
      <c r="C61" s="491">
        <f>SUM(U61:AF61)</f>
        <v>34901179</v>
      </c>
      <c r="D61" s="491">
        <f>SUM(F61:Q61)</f>
        <v>73777669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f>Mar!K44</f>
        <v>7051984</v>
      </c>
      <c r="X61" s="543">
        <v>5286030</v>
      </c>
      <c r="Y61" s="683">
        <v>2733897</v>
      </c>
      <c r="Z61" s="543"/>
      <c r="AA61" s="543"/>
      <c r="AB61" s="543"/>
      <c r="AC61" s="543"/>
      <c r="AD61" s="543"/>
      <c r="AE61" s="543"/>
    </row>
    <row r="62" spans="1:33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</row>
    <row r="63" spans="1:33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33">U63+1</f>
        <v>201502</v>
      </c>
      <c r="W63" s="484">
        <f t="shared" si="33"/>
        <v>201503</v>
      </c>
      <c r="X63" s="484">
        <f t="shared" si="33"/>
        <v>201504</v>
      </c>
      <c r="Y63" s="484">
        <f t="shared" si="33"/>
        <v>201505</v>
      </c>
      <c r="Z63" s="484">
        <f t="shared" si="33"/>
        <v>201506</v>
      </c>
      <c r="AA63" s="484">
        <f t="shared" si="33"/>
        <v>201507</v>
      </c>
      <c r="AB63" s="484">
        <f t="shared" si="33"/>
        <v>201508</v>
      </c>
      <c r="AC63" s="484">
        <f t="shared" si="33"/>
        <v>201509</v>
      </c>
      <c r="AD63" s="484">
        <f t="shared" si="33"/>
        <v>201510</v>
      </c>
      <c r="AE63" s="484">
        <f t="shared" si="33"/>
        <v>201511</v>
      </c>
      <c r="AF63" s="484">
        <f t="shared" si="33"/>
        <v>201512</v>
      </c>
    </row>
    <row r="64" spans="1:33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</row>
    <row r="65" spans="1:39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</row>
    <row r="66" spans="1:39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</row>
    <row r="67" spans="1:39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H67" s="707" t="s">
        <v>330</v>
      </c>
      <c r="AI67" s="708"/>
      <c r="AJ67" s="708"/>
      <c r="AK67" s="708"/>
      <c r="AL67" s="708"/>
      <c r="AM67" s="708"/>
    </row>
    <row r="68" spans="1:39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H68" s="708"/>
      <c r="AI68" s="708"/>
      <c r="AJ68" s="708"/>
      <c r="AK68" s="708"/>
      <c r="AL68" s="708"/>
      <c r="AM68" s="708"/>
    </row>
    <row r="69" spans="1:39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H69" s="708"/>
      <c r="AI69" s="708"/>
      <c r="AJ69" s="708"/>
      <c r="AK69" s="708"/>
      <c r="AL69" s="708"/>
      <c r="AM69" s="708"/>
    </row>
    <row r="70" spans="1:39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H70" s="708"/>
      <c r="AI70" s="708"/>
      <c r="AJ70" s="708"/>
      <c r="AK70" s="708"/>
      <c r="AL70" s="708"/>
      <c r="AM70" s="708"/>
    </row>
    <row r="71" spans="1:39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H71" s="708"/>
      <c r="AI71" s="708"/>
      <c r="AJ71" s="708"/>
      <c r="AK71" s="708"/>
      <c r="AL71" s="708"/>
      <c r="AM71" s="708"/>
    </row>
    <row r="72" spans="1:39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H72" s="708"/>
      <c r="AI72" s="708"/>
      <c r="AJ72" s="708"/>
      <c r="AK72" s="708"/>
      <c r="AL72" s="708"/>
      <c r="AM72" s="708"/>
    </row>
    <row r="73" spans="1:39" s="483" customFormat="1" ht="16" thickBot="1">
      <c r="A73" s="536">
        <v>191015</v>
      </c>
      <c r="B73" s="485" t="s">
        <v>256</v>
      </c>
      <c r="C73" s="486" t="s">
        <v>251</v>
      </c>
      <c r="D73" s="682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34">U73+1</f>
        <v>201502</v>
      </c>
      <c r="W73" s="484">
        <f t="shared" si="34"/>
        <v>201503</v>
      </c>
      <c r="X73" s="484">
        <f t="shared" si="34"/>
        <v>201504</v>
      </c>
      <c r="Y73" s="484">
        <f t="shared" si="34"/>
        <v>201505</v>
      </c>
      <c r="Z73" s="484">
        <f t="shared" si="34"/>
        <v>201506</v>
      </c>
      <c r="AA73" s="484">
        <f t="shared" si="34"/>
        <v>201507</v>
      </c>
      <c r="AB73" s="484">
        <f t="shared" si="34"/>
        <v>201508</v>
      </c>
      <c r="AC73" s="484">
        <f t="shared" si="34"/>
        <v>201509</v>
      </c>
      <c r="AD73" s="484">
        <f t="shared" si="34"/>
        <v>201510</v>
      </c>
      <c r="AE73" s="484">
        <f t="shared" si="34"/>
        <v>201511</v>
      </c>
      <c r="AF73" s="484">
        <f t="shared" si="34"/>
        <v>201512</v>
      </c>
      <c r="AH73" s="564" t="s">
        <v>330</v>
      </c>
      <c r="AI73" s="525"/>
      <c r="AJ73" s="482"/>
      <c r="AK73" s="482"/>
      <c r="AL73" s="482"/>
      <c r="AM73" s="482"/>
    </row>
    <row r="74" spans="1:39" s="483" customFormat="1" ht="16" thickBot="1">
      <c r="A74" s="484"/>
      <c r="B74" s="485" t="s">
        <v>257</v>
      </c>
      <c r="C74" s="486"/>
      <c r="D74" s="682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H74" s="513">
        <f>AH4</f>
        <v>201505</v>
      </c>
      <c r="AI74" s="526"/>
      <c r="AJ74" s="514"/>
      <c r="AK74" s="514"/>
      <c r="AL74" s="523"/>
      <c r="AM74" s="515"/>
    </row>
    <row r="75" spans="1:39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f>U79</f>
        <v>-11881.722960675279</v>
      </c>
      <c r="W75" s="482">
        <f t="shared" ref="W75:AF75" si="35">V79</f>
        <v>-11901.532960675278</v>
      </c>
      <c r="X75" s="482">
        <f t="shared" si="35"/>
        <v>-11911.450904809175</v>
      </c>
      <c r="Y75" s="482">
        <f t="shared" si="35"/>
        <v>-11921.377113896517</v>
      </c>
      <c r="Z75" s="482">
        <f t="shared" si="35"/>
        <v>-11931.311594824763</v>
      </c>
      <c r="AA75" s="482">
        <f t="shared" si="35"/>
        <v>-11941.254354487117</v>
      </c>
      <c r="AB75" s="482">
        <f t="shared" si="35"/>
        <v>-11951.205399782522</v>
      </c>
      <c r="AC75" s="482">
        <f t="shared" si="35"/>
        <v>-11961.164737615674</v>
      </c>
      <c r="AD75" s="482">
        <f t="shared" si="35"/>
        <v>-11971.132374897021</v>
      </c>
      <c r="AE75" s="482">
        <f t="shared" si="35"/>
        <v>-11981.108318542769</v>
      </c>
      <c r="AF75" s="482">
        <f t="shared" si="35"/>
        <v>-11991.092575474888</v>
      </c>
      <c r="AH75" s="497" t="s">
        <v>308</v>
      </c>
      <c r="AI75" s="527">
        <v>419600</v>
      </c>
      <c r="AJ75" s="498" t="s">
        <v>288</v>
      </c>
      <c r="AK75" s="498" t="s">
        <v>291</v>
      </c>
      <c r="AL75" s="470">
        <f>IF(SUMIF(U72:AF72,AH73,U76:AF76)&lt;0,-SUMIF(U72:AF72,AH73,U76:AF76),0)</f>
        <v>0</v>
      </c>
      <c r="AM75" s="520">
        <f>IF(SUMIF(U73:AF73,AH74,U77:AF77)&gt;0,SUMIF(U73:AF73,AH74,U77:AF77),0)</f>
        <v>0</v>
      </c>
    </row>
    <row r="76" spans="1:39">
      <c r="B76" s="481" t="s">
        <v>23</v>
      </c>
      <c r="C76" s="482">
        <f>SUM(U76:AF76)</f>
        <v>4.9799999978858978E-3</v>
      </c>
      <c r="D76" s="491">
        <f>SUM(F76:Q76)</f>
        <v>1181062.2835600001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36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H76" s="499" t="s">
        <v>309</v>
      </c>
      <c r="AI76" s="528">
        <v>431600</v>
      </c>
      <c r="AJ76" s="358" t="s">
        <v>288</v>
      </c>
      <c r="AK76" s="358" t="s">
        <v>291</v>
      </c>
      <c r="AL76" s="381">
        <f>IF(SUMIF(U73:AF73,AH74,U77:AF77)&lt;0,-SUMIF(U73:AF73,AH74,U77:AF77),0)</f>
        <v>9.9344809282470976</v>
      </c>
      <c r="AM76" s="500">
        <v>0</v>
      </c>
    </row>
    <row r="77" spans="1:39">
      <c r="B77" s="481" t="s">
        <v>4</v>
      </c>
      <c r="C77" s="482">
        <f t="shared" ref="C77:C78" si="37">SUM(U77:AF77)</f>
        <v>-109.46219194583813</v>
      </c>
      <c r="D77" s="491">
        <f>SUM(F77:Q77)</f>
        <v>-8150.2660220448734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f t="shared" ref="W77:AD77" si="38">((W75*(W74/12))+((W76/2)*(W74/12)))</f>
        <v>-9.9179441338960661</v>
      </c>
      <c r="X77" s="489">
        <f t="shared" si="38"/>
        <v>-9.926209087340979</v>
      </c>
      <c r="Y77" s="489">
        <f t="shared" si="38"/>
        <v>-9.9344809282470976</v>
      </c>
      <c r="Z77" s="489">
        <f t="shared" si="38"/>
        <v>-9.9427596623539696</v>
      </c>
      <c r="AA77" s="489">
        <f t="shared" si="38"/>
        <v>-9.9510452954059314</v>
      </c>
      <c r="AB77" s="489">
        <f t="shared" si="38"/>
        <v>-9.9593378331521034</v>
      </c>
      <c r="AC77" s="489">
        <f t="shared" si="38"/>
        <v>-9.9676372813463967</v>
      </c>
      <c r="AD77" s="489">
        <f t="shared" si="38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H77" s="499" t="s">
        <v>312</v>
      </c>
      <c r="AI77" s="528">
        <v>191015</v>
      </c>
      <c r="AJ77" s="358" t="s">
        <v>288</v>
      </c>
      <c r="AK77" s="358" t="s">
        <v>291</v>
      </c>
      <c r="AL77" s="381">
        <f>IF((SUMIF(U73:AF73,AH74,U76:AF76)+SUMIF(U73:AF73,AH74,U77:AF77))&gt;0,(SUMIF(U73:AF73,AH74,U76:AF76)+SUMIF(U73:AF73,AH74,U77:AF77)),0)</f>
        <v>0</v>
      </c>
      <c r="AM77" s="500">
        <f>IF((SUMIF(U73:AF73,AH74,U76:AF76)+SUMIF(U73:AF73,AH74,U77:AF77))&lt;0,-(SUMIF(U73:AF73,AH74,U76:AF76)+SUMIF(U73:AF73,AH74,U77:AF77)),0)</f>
        <v>9.9344809282470976</v>
      </c>
    </row>
    <row r="78" spans="1:39">
      <c r="B78" s="481" t="s">
        <v>148</v>
      </c>
      <c r="C78" s="482">
        <f t="shared" si="37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H78" s="499" t="s">
        <v>313</v>
      </c>
      <c r="AI78" s="528">
        <v>805111</v>
      </c>
      <c r="AJ78" s="358" t="s">
        <v>288</v>
      </c>
      <c r="AK78" s="358" t="s">
        <v>291</v>
      </c>
      <c r="AL78" s="381">
        <f>IF((SUMIF(U73:AF73,AH74,U76:AF76))&lt;0,-(SUMIF(U73:AF73,AH74,U76:AF76)),0)</f>
        <v>0</v>
      </c>
      <c r="AM78" s="500">
        <f>IF((SUMIF(U73:AF73,AH74,U76:AF76))&gt;0,(SUMIF(U73:AF73,AH74,U76:AF76)),0)</f>
        <v>0</v>
      </c>
    </row>
    <row r="79" spans="1:39" ht="16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F79" si="39">SUM(V75:V78)</f>
        <v>-11901.532960675278</v>
      </c>
      <c r="W79" s="541">
        <f t="shared" si="39"/>
        <v>-11911.450904809175</v>
      </c>
      <c r="X79" s="541">
        <f t="shared" si="39"/>
        <v>-11921.377113896517</v>
      </c>
      <c r="Y79" s="541">
        <f t="shared" si="39"/>
        <v>-11931.311594824763</v>
      </c>
      <c r="Z79" s="541">
        <f t="shared" si="39"/>
        <v>-11941.254354487117</v>
      </c>
      <c r="AA79" s="541">
        <f t="shared" si="39"/>
        <v>-11951.205399782522</v>
      </c>
      <c r="AB79" s="541">
        <f t="shared" si="39"/>
        <v>-11961.164737615674</v>
      </c>
      <c r="AC79" s="541">
        <f t="shared" si="39"/>
        <v>-11971.132374897021</v>
      </c>
      <c r="AD79" s="541">
        <f t="shared" si="39"/>
        <v>-11981.108318542769</v>
      </c>
      <c r="AE79" s="541">
        <f t="shared" si="39"/>
        <v>-11991.092575474888</v>
      </c>
      <c r="AF79" s="541">
        <f t="shared" si="39"/>
        <v>-12001.085152621117</v>
      </c>
      <c r="AH79" s="499" t="s">
        <v>332</v>
      </c>
      <c r="AI79" s="528">
        <v>191015</v>
      </c>
      <c r="AJ79" s="358" t="s">
        <v>288</v>
      </c>
      <c r="AK79" s="358" t="s">
        <v>291</v>
      </c>
      <c r="AL79" s="381">
        <v>0</v>
      </c>
      <c r="AM79" s="500">
        <v>0</v>
      </c>
    </row>
    <row r="80" spans="1:39" ht="16.5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 t="e">
        <f ca="1">_xll.Get_Balance(V73,"YTD","USD","Total","A","","001",$A$73,"GD","ID","DL")</f>
        <v>#NAME?</v>
      </c>
      <c r="W80" s="482" t="e">
        <f ca="1">_xll.Get_Balance(W73,"YTD","USD","Total","A","","001",$A$73,"GD","ID","DL")</f>
        <v>#NAME?</v>
      </c>
      <c r="X80" s="482" t="e">
        <f ca="1">_xll.Get_Balance(X73,"YTD","USD","Total","A","","001",$A$73,"GD","ID","DL")</f>
        <v>#NAME?</v>
      </c>
      <c r="Y80" s="482" t="e">
        <f ca="1">_xll.Get_Balance(Y73,"YTD","USD","Total","A","","001",$A$73,"GD","ID","DL")</f>
        <v>#NAME?</v>
      </c>
      <c r="Z80" s="482" t="e">
        <f ca="1">_xll.Get_Balance(Z73,"YTD","USD","Total","A","","001",$A$73,"GD","ID","DL")</f>
        <v>#NAME?</v>
      </c>
      <c r="AA80" s="482" t="e">
        <f ca="1">_xll.Get_Balance(AA73,"YTD","USD","Total","A","","001",$A$73,"GD","ID","DL")</f>
        <v>#NAME?</v>
      </c>
      <c r="AB80" s="482" t="e">
        <f ca="1">_xll.Get_Balance(AB73,"YTD","USD","Total","A","","001",$A$73,"GD","ID","DL")</f>
        <v>#NAME?</v>
      </c>
      <c r="AC80" s="482" t="e">
        <f ca="1">_xll.Get_Balance(AC73,"YTD","USD","Total","A","","001",$A$73,"GD","ID","DL")</f>
        <v>#NAME?</v>
      </c>
      <c r="AD80" s="482" t="e">
        <f ca="1">_xll.Get_Balance(AD73,"YTD","USD","Total","A","","001",$A$73,"GD","ID","DL")</f>
        <v>#NAME?</v>
      </c>
      <c r="AE80" s="482" t="e">
        <f ca="1">_xll.Get_Balance(AE73,"YTD","USD","Total","A","","001",$A$73,"GD","ID","DL")</f>
        <v>#NAME?</v>
      </c>
      <c r="AF80" s="482" t="e">
        <f ca="1">_xll.Get_Balance(AF73,"YTD","USD","Total","A","","001",$A$73,"GD","ID","DL")</f>
        <v>#NAME?</v>
      </c>
      <c r="AH80" s="501" t="s">
        <v>332</v>
      </c>
      <c r="AI80" s="529">
        <v>431600</v>
      </c>
      <c r="AJ80" s="502" t="s">
        <v>288</v>
      </c>
      <c r="AK80" s="502" t="s">
        <v>291</v>
      </c>
      <c r="AL80" s="464">
        <v>0</v>
      </c>
      <c r="AM80" s="521">
        <v>0</v>
      </c>
    </row>
    <row r="81" spans="2:41" ht="16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 t="e">
        <f t="shared" ref="V81:AF81" ca="1" si="40">V79-V80</f>
        <v>#NAME?</v>
      </c>
      <c r="W81" s="482" t="e">
        <f t="shared" ca="1" si="40"/>
        <v>#NAME?</v>
      </c>
      <c r="X81" s="482" t="e">
        <f t="shared" ca="1" si="40"/>
        <v>#NAME?</v>
      </c>
      <c r="Y81" s="482" t="e">
        <f t="shared" ca="1" si="40"/>
        <v>#NAME?</v>
      </c>
      <c r="Z81" s="482" t="e">
        <f t="shared" ca="1" si="40"/>
        <v>#NAME?</v>
      </c>
      <c r="AA81" s="482" t="e">
        <f t="shared" ca="1" si="40"/>
        <v>#NAME?</v>
      </c>
      <c r="AB81" s="482" t="e">
        <f t="shared" ca="1" si="40"/>
        <v>#NAME?</v>
      </c>
      <c r="AC81" s="482" t="e">
        <f t="shared" ca="1" si="40"/>
        <v>#NAME?</v>
      </c>
      <c r="AD81" s="482" t="e">
        <f t="shared" ca="1" si="40"/>
        <v>#NAME?</v>
      </c>
      <c r="AE81" s="482" t="e">
        <f t="shared" ca="1" si="40"/>
        <v>#NAME?</v>
      </c>
      <c r="AF81" s="482" t="e">
        <f t="shared" ca="1" si="40"/>
        <v>#NAME?</v>
      </c>
      <c r="AH81" s="516"/>
      <c r="AI81" s="530"/>
      <c r="AJ81" s="517"/>
      <c r="AK81" s="517"/>
      <c r="AL81" s="517" t="s">
        <v>159</v>
      </c>
      <c r="AM81" s="518">
        <f>SUM(AL75:AL80)-SUM(AM75:AM80)</f>
        <v>0</v>
      </c>
    </row>
    <row r="84" spans="2:41">
      <c r="X84" s="576"/>
      <c r="Y84" s="576"/>
      <c r="Z84" s="576"/>
      <c r="AA84" s="576"/>
      <c r="AB84" s="576"/>
      <c r="AC84" s="576"/>
      <c r="AD84" s="576"/>
      <c r="AE84" s="576"/>
      <c r="AF84" s="576"/>
      <c r="AG84" s="576"/>
      <c r="AH84" s="709"/>
      <c r="AI84" s="710"/>
      <c r="AJ84" s="710"/>
      <c r="AK84" s="710"/>
      <c r="AL84" s="710"/>
      <c r="AM84" s="710"/>
      <c r="AN84" s="576"/>
      <c r="AO84" s="576"/>
    </row>
    <row r="85" spans="2:41">
      <c r="X85" s="576"/>
      <c r="Y85" s="576"/>
      <c r="Z85" s="576"/>
      <c r="AA85" s="576"/>
      <c r="AB85" s="576"/>
      <c r="AC85" s="576"/>
      <c r="AD85" s="576"/>
      <c r="AE85" s="576"/>
      <c r="AF85" s="576"/>
      <c r="AG85" s="576"/>
      <c r="AH85" s="710"/>
      <c r="AI85" s="710"/>
      <c r="AJ85" s="710"/>
      <c r="AK85" s="710"/>
      <c r="AL85" s="710"/>
      <c r="AM85" s="710"/>
      <c r="AN85" s="576"/>
      <c r="AO85" s="576"/>
    </row>
    <row r="86" spans="2:41">
      <c r="X86" s="576"/>
      <c r="Y86" s="576"/>
      <c r="Z86" s="576"/>
      <c r="AA86" s="576"/>
      <c r="AB86" s="576"/>
      <c r="AC86" s="576"/>
      <c r="AD86" s="576"/>
      <c r="AE86" s="576"/>
      <c r="AF86" s="576"/>
      <c r="AG86" s="576"/>
      <c r="AH86" s="710"/>
      <c r="AI86" s="710"/>
      <c r="AJ86" s="710"/>
      <c r="AK86" s="710"/>
      <c r="AL86" s="710"/>
      <c r="AM86" s="710"/>
      <c r="AN86" s="576"/>
      <c r="AO86" s="576"/>
    </row>
    <row r="87" spans="2:41">
      <c r="X87" s="576"/>
      <c r="Y87" s="576"/>
      <c r="Z87" s="576"/>
      <c r="AA87" s="576"/>
      <c r="AB87" s="576"/>
      <c r="AC87" s="576"/>
      <c r="AD87" s="576"/>
      <c r="AE87" s="576"/>
      <c r="AF87" s="576"/>
      <c r="AG87" s="576"/>
      <c r="AH87" s="710"/>
      <c r="AI87" s="710"/>
      <c r="AJ87" s="710"/>
      <c r="AK87" s="710"/>
      <c r="AL87" s="710"/>
      <c r="AM87" s="710"/>
      <c r="AN87" s="576"/>
      <c r="AO87" s="576"/>
    </row>
    <row r="88" spans="2:41">
      <c r="X88" s="576"/>
      <c r="Y88" s="576"/>
      <c r="Z88" s="576"/>
      <c r="AA88" s="576"/>
      <c r="AB88" s="576"/>
      <c r="AC88" s="576"/>
      <c r="AD88" s="576"/>
      <c r="AE88" s="576"/>
      <c r="AF88" s="576"/>
      <c r="AG88" s="576"/>
      <c r="AH88" s="710"/>
      <c r="AI88" s="710"/>
      <c r="AJ88" s="710"/>
      <c r="AK88" s="710"/>
      <c r="AL88" s="710"/>
      <c r="AM88" s="710"/>
      <c r="AN88" s="576"/>
      <c r="AO88" s="576"/>
    </row>
    <row r="89" spans="2:41">
      <c r="X89" s="576"/>
      <c r="Y89" s="576"/>
      <c r="Z89" s="576"/>
      <c r="AA89" s="576"/>
      <c r="AB89" s="576"/>
      <c r="AC89" s="576"/>
      <c r="AD89" s="576"/>
      <c r="AE89" s="576"/>
      <c r="AF89" s="576"/>
      <c r="AG89" s="576"/>
      <c r="AH89" s="710"/>
      <c r="AI89" s="710"/>
      <c r="AJ89" s="710"/>
      <c r="AK89" s="710"/>
      <c r="AL89" s="710"/>
      <c r="AM89" s="710"/>
      <c r="AN89" s="576"/>
      <c r="AO89" s="576"/>
    </row>
    <row r="90" spans="2:41">
      <c r="X90" s="576"/>
      <c r="Y90" s="576"/>
      <c r="Z90" s="576"/>
      <c r="AA90" s="576"/>
      <c r="AB90" s="576"/>
      <c r="AC90" s="576"/>
      <c r="AD90" s="576"/>
      <c r="AE90" s="576"/>
      <c r="AF90" s="576"/>
      <c r="AG90" s="576"/>
      <c r="AH90" s="358"/>
      <c r="AI90" s="528"/>
      <c r="AJ90" s="358"/>
      <c r="AK90" s="358"/>
      <c r="AL90" s="576"/>
      <c r="AM90" s="576"/>
      <c r="AN90" s="576"/>
      <c r="AO90" s="576"/>
    </row>
    <row r="91" spans="2:41">
      <c r="M91" s="482">
        <v>13246436.58</v>
      </c>
      <c r="X91" s="576"/>
      <c r="Y91" s="576"/>
      <c r="Z91" s="576"/>
      <c r="AA91" s="576"/>
      <c r="AB91" s="576"/>
      <c r="AC91" s="576"/>
      <c r="AD91" s="576"/>
      <c r="AE91" s="576"/>
      <c r="AF91" s="576"/>
      <c r="AG91" s="576"/>
      <c r="AH91" s="7"/>
      <c r="AI91" s="209"/>
      <c r="AJ91" s="7"/>
      <c r="AK91" s="7"/>
      <c r="AL91" s="576"/>
      <c r="AM91" s="576"/>
      <c r="AN91" s="576"/>
      <c r="AO91" s="576"/>
    </row>
    <row r="92" spans="2:41">
      <c r="X92" s="576"/>
      <c r="Y92" s="576"/>
      <c r="Z92" s="576"/>
      <c r="AA92" s="576"/>
      <c r="AB92" s="576"/>
      <c r="AC92" s="576"/>
      <c r="AD92" s="576"/>
      <c r="AE92" s="576"/>
      <c r="AF92" s="576"/>
      <c r="AG92" s="576"/>
      <c r="AH92" s="358"/>
      <c r="AI92" s="528"/>
      <c r="AJ92" s="358"/>
      <c r="AK92" s="358"/>
      <c r="AL92" s="576"/>
      <c r="AM92" s="576"/>
      <c r="AN92" s="576"/>
      <c r="AO92" s="576"/>
    </row>
    <row r="93" spans="2:41">
      <c r="X93" s="576"/>
      <c r="Y93" s="576"/>
      <c r="Z93" s="576"/>
      <c r="AA93" s="576"/>
      <c r="AB93" s="576"/>
      <c r="AC93" s="576"/>
      <c r="AD93" s="576"/>
      <c r="AE93" s="576"/>
      <c r="AF93" s="576"/>
      <c r="AG93" s="576"/>
      <c r="AH93" s="576"/>
      <c r="AI93" s="603"/>
      <c r="AJ93" s="576"/>
      <c r="AK93" s="576"/>
      <c r="AL93" s="576"/>
      <c r="AM93" s="576"/>
      <c r="AN93" s="576"/>
      <c r="AO93" s="576"/>
    </row>
  </sheetData>
  <mergeCells count="3">
    <mergeCell ref="AH31:AL36"/>
    <mergeCell ref="AH67:AM72"/>
    <mergeCell ref="AH84:AM89"/>
  </mergeCells>
  <conditionalFormatting sqref="E28">
    <cfRule type="cellIs" dxfId="367" priority="26" operator="notEqual">
      <formula>E27</formula>
    </cfRule>
  </conditionalFormatting>
  <conditionalFormatting sqref="F28">
    <cfRule type="cellIs" dxfId="366" priority="25" operator="notEqual">
      <formula>F27</formula>
    </cfRule>
  </conditionalFormatting>
  <conditionalFormatting sqref="G28">
    <cfRule type="cellIs" dxfId="365" priority="24" operator="notEqual">
      <formula>G27</formula>
    </cfRule>
  </conditionalFormatting>
  <conditionalFormatting sqref="H28">
    <cfRule type="cellIs" dxfId="364" priority="23" operator="notEqual">
      <formula>H27</formula>
    </cfRule>
  </conditionalFormatting>
  <conditionalFormatting sqref="C28">
    <cfRule type="cellIs" dxfId="363" priority="22" operator="notEqual">
      <formula>C27</formula>
    </cfRule>
  </conditionalFormatting>
  <conditionalFormatting sqref="F61">
    <cfRule type="cellIs" dxfId="362" priority="21" operator="notEqual">
      <formula>F60</formula>
    </cfRule>
  </conditionalFormatting>
  <conditionalFormatting sqref="G61">
    <cfRule type="cellIs" dxfId="361" priority="20" operator="notEqual">
      <formula>G60</formula>
    </cfRule>
  </conditionalFormatting>
  <conditionalFormatting sqref="H61">
    <cfRule type="cellIs" dxfId="360" priority="19" operator="notEqual">
      <formula>H60</formula>
    </cfRule>
  </conditionalFormatting>
  <conditionalFormatting sqref="C61">
    <cfRule type="cellIs" dxfId="359" priority="18" operator="notEqual">
      <formula>C60</formula>
    </cfRule>
  </conditionalFormatting>
  <conditionalFormatting sqref="I61">
    <cfRule type="cellIs" dxfId="358" priority="17" operator="notEqual">
      <formula>I60</formula>
    </cfRule>
  </conditionalFormatting>
  <conditionalFormatting sqref="AM81 AM48 AM11">
    <cfRule type="cellIs" dxfId="357" priority="16" operator="notEqual">
      <formula>0</formula>
    </cfRule>
  </conditionalFormatting>
  <conditionalFormatting sqref="I28">
    <cfRule type="cellIs" dxfId="356" priority="15" operator="notEqual">
      <formula>I27</formula>
    </cfRule>
  </conditionalFormatting>
  <conditionalFormatting sqref="J28">
    <cfRule type="cellIs" dxfId="355" priority="14" operator="notEqual">
      <formula>J27</formula>
    </cfRule>
  </conditionalFormatting>
  <conditionalFormatting sqref="J61">
    <cfRule type="cellIs" dxfId="354" priority="13" operator="notEqual">
      <formula>J60</formula>
    </cfRule>
  </conditionalFormatting>
  <conditionalFormatting sqref="K28">
    <cfRule type="cellIs" dxfId="353" priority="12" operator="notEqual">
      <formula>K27</formula>
    </cfRule>
  </conditionalFormatting>
  <conditionalFormatting sqref="K61">
    <cfRule type="cellIs" dxfId="352" priority="11" operator="notEqual">
      <formula>K60</formula>
    </cfRule>
  </conditionalFormatting>
  <conditionalFormatting sqref="L28:M28">
    <cfRule type="cellIs" dxfId="351" priority="10" operator="notEqual">
      <formula>L27</formula>
    </cfRule>
  </conditionalFormatting>
  <conditionalFormatting sqref="N28">
    <cfRule type="cellIs" dxfId="350" priority="9" operator="notEqual">
      <formula>N27</formula>
    </cfRule>
  </conditionalFormatting>
  <conditionalFormatting sqref="U61">
    <cfRule type="cellIs" dxfId="349" priority="8" operator="notEqual">
      <formula>U60</formula>
    </cfRule>
  </conditionalFormatting>
  <conditionalFormatting sqref="U28:V28">
    <cfRule type="cellIs" dxfId="348" priority="7" operator="notEqual">
      <formula>U27</formula>
    </cfRule>
  </conditionalFormatting>
  <conditionalFormatting sqref="V28">
    <cfRule type="cellIs" dxfId="347" priority="6" operator="notEqual">
      <formula>V27</formula>
    </cfRule>
  </conditionalFormatting>
  <conditionalFormatting sqref="V61">
    <cfRule type="cellIs" dxfId="346" priority="5" operator="notEqual">
      <formula>V60</formula>
    </cfRule>
  </conditionalFormatting>
  <conditionalFormatting sqref="W28">
    <cfRule type="cellIs" dxfId="345" priority="4" operator="notEqual">
      <formula>W27</formula>
    </cfRule>
  </conditionalFormatting>
  <conditionalFormatting sqref="W61">
    <cfRule type="cellIs" dxfId="344" priority="3" operator="notEqual">
      <formula>W60</formula>
    </cfRule>
  </conditionalFormatting>
  <conditionalFormatting sqref="X28:Y28">
    <cfRule type="cellIs" dxfId="343" priority="2" operator="notEqual">
      <formula>X27</formula>
    </cfRule>
  </conditionalFormatting>
  <conditionalFormatting sqref="Z28">
    <cfRule type="cellIs" dxfId="342" priority="1" operator="notEqual">
      <formula>Z27</formula>
    </cfRule>
  </conditionalFormatting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>
    <tabColor theme="4" tint="0.59999389629810485"/>
    <pageSetUpPr fitToPage="1"/>
  </sheetPr>
  <dimension ref="A1:AM80"/>
  <sheetViews>
    <sheetView zoomScale="85" zoomScaleNormal="85" zoomScaleSheetLayoutView="85" workbookViewId="0">
      <selection activeCell="AG52" sqref="AG52"/>
    </sheetView>
  </sheetViews>
  <sheetFormatPr defaultColWidth="9.09765625" defaultRowHeight="15.5"/>
  <cols>
    <col min="1" max="1" width="17.296875" style="482" customWidth="1"/>
    <col min="2" max="2" width="18.69921875" style="481" bestFit="1" customWidth="1"/>
    <col min="3" max="3" width="16.09765625" style="482" customWidth="1"/>
    <col min="4" max="4" width="16.296875" style="482" customWidth="1"/>
    <col min="5" max="5" width="15.59765625" style="482" hidden="1" customWidth="1"/>
    <col min="6" max="6" width="18.296875" style="482" hidden="1" customWidth="1"/>
    <col min="7" max="7" width="16.296875" style="482" hidden="1" customWidth="1"/>
    <col min="8" max="9" width="19.8984375" style="482" hidden="1" customWidth="1"/>
    <col min="10" max="10" width="16.296875" style="482" hidden="1" customWidth="1"/>
    <col min="11" max="11" width="21.59765625" style="482" hidden="1" customWidth="1"/>
    <col min="12" max="18" width="16.296875" style="482" hidden="1" customWidth="1"/>
    <col min="19" max="20" width="16.296875" style="482" customWidth="1"/>
    <col min="21" max="21" width="19.8984375" style="482" customWidth="1"/>
    <col min="22" max="22" width="16.296875" style="482" customWidth="1"/>
    <col min="23" max="23" width="21.59765625" style="482" customWidth="1"/>
    <col min="24" max="25" width="16.296875" style="482" customWidth="1"/>
    <col min="26" max="32" width="16.296875" style="482" hidden="1" customWidth="1"/>
    <col min="33" max="33" width="11.69921875" style="482" customWidth="1"/>
    <col min="34" max="34" width="37.8984375" style="482" bestFit="1" customWidth="1"/>
    <col min="35" max="35" width="14.3984375" style="525" bestFit="1" customWidth="1"/>
    <col min="36" max="36" width="4.69921875" style="482" bestFit="1" customWidth="1"/>
    <col min="37" max="37" width="5" style="482" bestFit="1" customWidth="1"/>
    <col min="38" max="38" width="18.296875" style="482" customWidth="1"/>
    <col min="39" max="39" width="17.09765625" style="482" bestFit="1" customWidth="1"/>
    <col min="40" max="40" width="0.3984375" style="482" customWidth="1"/>
    <col min="41" max="16384" width="9.09765625" style="482"/>
  </cols>
  <sheetData>
    <row r="1" spans="1:39">
      <c r="A1" s="480" t="s">
        <v>265</v>
      </c>
      <c r="AH1" s="480" t="s">
        <v>315</v>
      </c>
    </row>
    <row r="2" spans="1:39">
      <c r="A2" s="483" t="s">
        <v>266</v>
      </c>
    </row>
    <row r="3" spans="1:39" s="483" customFormat="1" ht="31.5" thickBot="1">
      <c r="A3" s="484">
        <v>191010</v>
      </c>
      <c r="B3" s="485" t="s">
        <v>256</v>
      </c>
      <c r="C3" s="486" t="s">
        <v>251</v>
      </c>
      <c r="D3" s="679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 t="shared" ref="AF3" si="1">AE3+1</f>
        <v>201512</v>
      </c>
      <c r="AI3" s="484"/>
    </row>
    <row r="4" spans="1:39" s="483" customFormat="1" ht="16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H4" s="544">
        <v>201504</v>
      </c>
      <c r="AI4" s="526"/>
      <c r="AJ4" s="514"/>
      <c r="AK4" s="514"/>
      <c r="AL4" s="514"/>
      <c r="AM4" s="515"/>
    </row>
    <row r="5" spans="1:39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-1154882.2995837759</v>
      </c>
      <c r="W5" s="482">
        <f t="shared" ref="W5:AD5" si="2">V13</f>
        <v>-1883329.5456927749</v>
      </c>
      <c r="X5" s="482">
        <f t="shared" si="2"/>
        <v>-872806.43822777225</v>
      </c>
      <c r="Y5" s="482">
        <f t="shared" si="2"/>
        <v>-2959310.535139773</v>
      </c>
      <c r="Z5" s="482">
        <f t="shared" si="2"/>
        <v>-3131335.1133777718</v>
      </c>
      <c r="AA5" s="482">
        <f t="shared" si="2"/>
        <v>-3303665.3888877728</v>
      </c>
      <c r="AB5" s="482">
        <f t="shared" si="2"/>
        <v>-3655951.1713057715</v>
      </c>
      <c r="AC5" s="482">
        <f t="shared" si="2"/>
        <v>-3747278.07094577</v>
      </c>
      <c r="AD5" s="482">
        <f t="shared" si="2"/>
        <v>-4948357.8050077725</v>
      </c>
      <c r="AE5" s="482">
        <f>AD13</f>
        <v>-6093381.4883727729</v>
      </c>
      <c r="AF5" s="482">
        <f t="shared" ref="AF5" si="3">AE13</f>
        <v>-7722519.1945627714</v>
      </c>
      <c r="AH5" s="497" t="s">
        <v>294</v>
      </c>
      <c r="AI5" s="527">
        <v>419600</v>
      </c>
      <c r="AJ5" s="498" t="s">
        <v>288</v>
      </c>
      <c r="AK5" s="498" t="s">
        <v>289</v>
      </c>
      <c r="AL5" s="519">
        <v>0</v>
      </c>
      <c r="AM5" s="520">
        <f>IF(SUMIF(U3:AF3,AH4,U8:AF8)&gt;0,SUMIF(U3:AF3,AH4,U8:AF8),0)</f>
        <v>0</v>
      </c>
    </row>
    <row r="6" spans="1:39">
      <c r="B6" s="481" t="s">
        <v>254</v>
      </c>
      <c r="C6" s="482">
        <f>SUM(U6:AF6)</f>
        <v>-10042423.246235993</v>
      </c>
      <c r="D6" s="482">
        <f>-2523837.34+SUM(E6:N6,E9:T9)</f>
        <v>4.5212078839540482E-3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f>Feb!$H$53</f>
        <v>0</v>
      </c>
      <c r="W6" s="482">
        <f>Mar!$H$53</f>
        <v>1135107.4385570027</v>
      </c>
      <c r="X6" s="482">
        <f>Apr!$H$53</f>
        <v>-2310603.7085020011</v>
      </c>
      <c r="Y6" s="482">
        <f>May!$H$53</f>
        <v>-1026688.9535339989</v>
      </c>
      <c r="Z6" s="482">
        <f>Jun!$H$53</f>
        <v>-1511176.335440001</v>
      </c>
      <c r="AA6" s="482">
        <f>Jul!$H$53</f>
        <v>-1483614.197077998</v>
      </c>
      <c r="AB6" s="482">
        <f>Aug!$H$53</f>
        <v>-1288286.6270379988</v>
      </c>
      <c r="AC6" s="482">
        <f>Sep!$H$53</f>
        <v>-2088616.5970920017</v>
      </c>
      <c r="AD6" s="482">
        <f>Oct!$H$55</f>
        <v>-1862270.5500129997</v>
      </c>
      <c r="AE6" s="482">
        <f>Nov!$H$55</f>
        <v>-294955.25549999811</v>
      </c>
      <c r="AF6" s="482">
        <f>Dec!$H$53</f>
        <v>0</v>
      </c>
      <c r="AH6" s="499" t="s">
        <v>295</v>
      </c>
      <c r="AI6" s="528">
        <v>431600</v>
      </c>
      <c r="AJ6" s="358" t="s">
        <v>288</v>
      </c>
      <c r="AK6" s="358" t="s">
        <v>289</v>
      </c>
      <c r="AL6" s="381">
        <f>IF(SUMIF(U3:AF3,AH4,U8:AF8)&lt;0,-SUMIF(U3:AF3,AH4,U8:AF8),0)</f>
        <v>5182.82</v>
      </c>
      <c r="AM6" s="500">
        <v>0</v>
      </c>
    </row>
    <row r="7" spans="1:39">
      <c r="B7" s="481" t="s">
        <v>255</v>
      </c>
      <c r="C7" s="482">
        <f t="shared" ref="C7:C12" si="4">SUM(U7:AF7)</f>
        <v>2652361.2041769996</v>
      </c>
      <c r="D7" s="482">
        <f>5059705.37+SUM(E7:N7,E10:T10)</f>
        <v>-2.4999678134918213E-4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f>Feb!$I$53</f>
        <v>-724338.56610899908</v>
      </c>
      <c r="W7" s="482">
        <f>Mar!$I$53</f>
        <v>-120857.11109200004</v>
      </c>
      <c r="X7" s="482">
        <f>Apr!$I$53</f>
        <v>229663.83159000031</v>
      </c>
      <c r="Y7" s="482">
        <f>May!$I$53</f>
        <v>862900.97529599979</v>
      </c>
      <c r="Z7" s="482">
        <f>Jun!$I$53</f>
        <v>1347548.3399299998</v>
      </c>
      <c r="AA7" s="482">
        <f>Jul!$I$53</f>
        <v>1140740.15466</v>
      </c>
      <c r="AB7" s="482">
        <f>Aug!$I$53</f>
        <v>1206971.3773980001</v>
      </c>
      <c r="AC7" s="482">
        <f>Sep!$I$53</f>
        <v>899296.28302999982</v>
      </c>
      <c r="AD7" s="482">
        <f>Oct!$I$55</f>
        <v>732178.99664799974</v>
      </c>
      <c r="AE7" s="563">
        <f>Nov!$I$55</f>
        <v>-1315498.7206899999</v>
      </c>
      <c r="AF7" s="482">
        <f>Dec!$I$53</f>
        <v>0</v>
      </c>
      <c r="AH7" s="499" t="s">
        <v>296</v>
      </c>
      <c r="AI7" s="528">
        <v>191010</v>
      </c>
      <c r="AJ7" s="358" t="s">
        <v>288</v>
      </c>
      <c r="AK7" s="358" t="s">
        <v>289</v>
      </c>
      <c r="AL7" s="381">
        <f>IF((SUMIF(U3:AF3,AH4,U6:AF6)+SUMIF(U3:AF3,AH4,U7:AF7)+SUMIF(U3:AF3,AH4,U8:AF8))&gt;0,(SUMIF(U3:AF3,AH4,U6:AF6)+SUMIF(U3:AF3,AH4,U7:AF7)+SUMIF(U3:AF3,AH4,U8:AF8)),0)</f>
        <v>0</v>
      </c>
      <c r="AM7" s="500">
        <f>IF((SUMIF(U3:AF3,AH4,U6:AF6)+SUMIF(U3:AF3,AH4,U7:AF7)+SUMIF(U3:AF3,AH4,U8:AF8))&lt;0,-(SUMIF(U3:AF3,AH4,U6:AF6)+SUMIF(U3:AF3,AH4,U7:AF7)++SUMIF(U3:AF3,AH4,U8:AF8)),0)</f>
        <v>2086122.6969120009</v>
      </c>
    </row>
    <row r="8" spans="1:39">
      <c r="B8" s="481" t="s">
        <v>258</v>
      </c>
      <c r="C8" s="482">
        <f t="shared" si="4"/>
        <v>-117362.70999999999</v>
      </c>
      <c r="D8" s="482">
        <f>-38846.64+SUM(E8:N8,E11:T11)</f>
        <v>5.9999999990395736E-2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5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f>ROUND(((V5)*(V4/12))+((SUM(V6:V7)/2)*(V4/12)),2)</f>
        <v>-4108.68</v>
      </c>
      <c r="W8" s="489">
        <f t="shared" ref="W8:AC8" si="6">ROUND(((W5)*(W4/12))+((SUM(W6:W7)/2)*(W4/12)),2)</f>
        <v>-3727.22</v>
      </c>
      <c r="X8" s="489">
        <f>ROUND(((X5+X12)*(X4/12))+((SUM(X6:X7)/2)*(X4/12)),2)</f>
        <v>-5182.82</v>
      </c>
      <c r="Y8" s="489">
        <f t="shared" si="6"/>
        <v>-8236.6</v>
      </c>
      <c r="Z8" s="489">
        <f t="shared" si="6"/>
        <v>-8702.2800000000007</v>
      </c>
      <c r="AA8" s="489">
        <f t="shared" si="6"/>
        <v>-9411.74</v>
      </c>
      <c r="AB8" s="489">
        <f t="shared" si="6"/>
        <v>-10011.65</v>
      </c>
      <c r="AC8" s="489">
        <f t="shared" si="6"/>
        <v>-11759.42</v>
      </c>
      <c r="AD8" s="489">
        <f>ROUND(((AD5)*(AD4/12))+((SUM(AD6:AD7)/2)*(AD4/12)),2)</f>
        <v>-14932.13</v>
      </c>
      <c r="AE8" s="560">
        <f>ROUND(((AE5+AE9+AE10+AE11)*(AE4/12))+((SUM(AE6:AE7)/2)*(AE4/12)),2)</f>
        <v>-18683.73</v>
      </c>
      <c r="AF8" s="489">
        <f>ROUND(((AF5)*(AF4/12))+((SUM(AF6:AF7)/2)*(AF4/12)),2)</f>
        <v>-20915.16</v>
      </c>
      <c r="AH8" s="499" t="s">
        <v>297</v>
      </c>
      <c r="AI8" s="528">
        <v>805120</v>
      </c>
      <c r="AJ8" s="358" t="s">
        <v>288</v>
      </c>
      <c r="AK8" s="358" t="s">
        <v>289</v>
      </c>
      <c r="AL8" s="381">
        <f>IF((SUMIF(U3:AF3,AH4,U6:AF6)+SUMIF(U3:AF3,AH4,U7:AF7))&lt;0,-(SUMIF(U3:AF3,AH4,U6:AF6)+SUMIF(U3:AF3,AH4,U7:AF7)),0)</f>
        <v>2080939.8769120008</v>
      </c>
      <c r="AM8" s="500">
        <f>IF((SUMIF(U3:AF3,AH4,U6:AF6)+SUMIF(U3:AF3,AH4,U7:AF7))&gt;0,(SUMIF(U3:AF3,AH4,U6:AF6)+SUMIF(U3:AF3,AH4,U7:AF7)),0)</f>
        <v>0</v>
      </c>
    </row>
    <row r="9" spans="1:39">
      <c r="B9" s="481" t="s">
        <v>262</v>
      </c>
      <c r="C9" s="482">
        <f t="shared" si="4"/>
        <v>-69937.37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63">
        <v>0</v>
      </c>
      <c r="AF9" s="482">
        <v>0</v>
      </c>
      <c r="AH9" s="499" t="s">
        <v>11</v>
      </c>
      <c r="AI9" s="528">
        <v>191010</v>
      </c>
      <c r="AJ9" s="358" t="s">
        <v>288</v>
      </c>
      <c r="AK9" s="358" t="s">
        <v>289</v>
      </c>
      <c r="AL9" s="381">
        <v>0</v>
      </c>
      <c r="AM9" s="500">
        <v>0</v>
      </c>
    </row>
    <row r="10" spans="1:39" ht="16" thickBot="1">
      <c r="B10" s="481" t="s">
        <v>263</v>
      </c>
      <c r="C10" s="482">
        <f t="shared" si="4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63">
        <v>0</v>
      </c>
      <c r="AF10" s="482">
        <v>0</v>
      </c>
      <c r="AH10" s="501" t="str">
        <f>AH9</f>
        <v>Tracker Transfer</v>
      </c>
      <c r="AI10" s="529">
        <f>AI41</f>
        <v>191000</v>
      </c>
      <c r="AJ10" s="529" t="str">
        <f>AJ41</f>
        <v>GD</v>
      </c>
      <c r="AK10" s="529" t="str">
        <f>AK41</f>
        <v>WA</v>
      </c>
      <c r="AL10" s="503">
        <v>0</v>
      </c>
      <c r="AM10" s="521">
        <f>AL9</f>
        <v>0</v>
      </c>
    </row>
    <row r="11" spans="1:39" ht="16" thickBot="1">
      <c r="B11" s="481" t="s">
        <v>264</v>
      </c>
      <c r="C11" s="482">
        <f t="shared" si="4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63">
        <v>0</v>
      </c>
      <c r="AF11" s="482">
        <v>0</v>
      </c>
      <c r="AH11" s="516"/>
      <c r="AI11" s="530"/>
      <c r="AJ11" s="517"/>
      <c r="AK11" s="517"/>
      <c r="AL11" s="517" t="s">
        <v>159</v>
      </c>
      <c r="AM11" s="518">
        <f>SUM(AL5:AL10)-SUM(AM5:AM10)</f>
        <v>0</v>
      </c>
    </row>
    <row r="12" spans="1:39">
      <c r="B12" s="481" t="s">
        <v>148</v>
      </c>
      <c r="C12" s="482">
        <f t="shared" si="4"/>
        <v>-381.4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</row>
    <row r="13" spans="1:39" ht="16" thickBot="1">
      <c r="B13" s="481" t="s">
        <v>56</v>
      </c>
      <c r="C13" s="541">
        <f>SUM(C5:C12)</f>
        <v>-7577743.5220589936</v>
      </c>
      <c r="D13" s="541"/>
      <c r="E13" s="541">
        <f>SUM(E5:E12)</f>
        <v>2712780.2600000002</v>
      </c>
      <c r="F13" s="541">
        <f t="shared" ref="F13:H13" si="7">SUM(F5:F12)</f>
        <v>2255013.9900000002</v>
      </c>
      <c r="G13" s="541">
        <f>SUM(G5:G12)</f>
        <v>-33498.738666789999</v>
      </c>
      <c r="H13" s="541">
        <f t="shared" si="7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8">SUM(V5:V12)</f>
        <v>-1883329.5456927749</v>
      </c>
      <c r="W13" s="541">
        <f t="shared" si="8"/>
        <v>-872806.43822777225</v>
      </c>
      <c r="X13" s="541">
        <f t="shared" si="8"/>
        <v>-2959310.535139773</v>
      </c>
      <c r="Y13" s="541">
        <f>SUM(Y5:Y12)</f>
        <v>-3131335.1133777718</v>
      </c>
      <c r="Z13" s="541">
        <f t="shared" ref="Z13:AF13" si="9">SUM(Z5:Z12)</f>
        <v>-3303665.3888877728</v>
      </c>
      <c r="AA13" s="541">
        <f t="shared" si="9"/>
        <v>-3655951.1713057715</v>
      </c>
      <c r="AB13" s="541">
        <f t="shared" si="9"/>
        <v>-3747278.07094577</v>
      </c>
      <c r="AC13" s="541">
        <f t="shared" si="9"/>
        <v>-4948357.8050077725</v>
      </c>
      <c r="AD13" s="541">
        <f t="shared" si="9"/>
        <v>-6093381.4883727729</v>
      </c>
      <c r="AE13" s="541">
        <f t="shared" si="9"/>
        <v>-7722519.1945627714</v>
      </c>
      <c r="AF13" s="541">
        <f t="shared" si="9"/>
        <v>-7743434.3545627715</v>
      </c>
    </row>
    <row r="14" spans="1:39" ht="16" thickTop="1">
      <c r="B14" s="481" t="s">
        <v>260</v>
      </c>
      <c r="E14" s="482" t="e">
        <f ca="1">_xll.Get_Balance(E3,"YTD","USD","Total","A","","001",$A$3,"GD","WA","DL")</f>
        <v>#NAME?</v>
      </c>
      <c r="F14" s="482" t="e">
        <f ca="1">_xll.Get_Balance(F3,"YTD","USD","Total","A","","001",$A$3,"GD","WA","DL")</f>
        <v>#NAME?</v>
      </c>
      <c r="G14" s="482" t="e">
        <f ca="1">_xll.Get_Balance(G3,"YTD","USD","Total","A","","001",$A$3,"GD","WA","DL")</f>
        <v>#NAME?</v>
      </c>
      <c r="H14" s="482" t="e">
        <f ca="1">_xll.Get_Balance(H3,"YTD","USD","Total","A","","001",$A$3,"GD","WA","DL")</f>
        <v>#NAME?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 t="e">
        <f ca="1">_xll.Get_Balance(V3,"YTD","USD","Total","A","","001",$A$3,"GD","WA","DL")</f>
        <v>#NAME?</v>
      </c>
      <c r="W14" s="482" t="e">
        <f ca="1">_xll.Get_Balance(W3,"YTD","USD","Total","A","","001",$A$3,"GD","WA","DL")</f>
        <v>#NAME?</v>
      </c>
      <c r="X14" s="482" t="e">
        <f ca="1">_xll.Get_Balance(X3,"YTD","USD","Total","A","","001",$A$3,"GD","WA","DL")</f>
        <v>#NAME?</v>
      </c>
      <c r="Y14" s="482" t="e">
        <f ca="1">_xll.Get_Balance(Y3,"YTD","USD","Total","A","","001",$A$3,"GD","WA","DL")</f>
        <v>#NAME?</v>
      </c>
      <c r="Z14" s="482" t="e">
        <f ca="1">_xll.Get_Balance(Z3,"YTD","USD","Total","A","","001",$A$3,"GD","WA","DL")</f>
        <v>#NAME?</v>
      </c>
      <c r="AA14" s="482" t="e">
        <f ca="1">_xll.Get_Balance(AA3,"YTD","USD","Total","A","","001",$A$3,"GD","WA","DL")</f>
        <v>#NAME?</v>
      </c>
      <c r="AB14" s="482" t="e">
        <f ca="1">_xll.Get_Balance(AB3,"YTD","USD","Total","A","","001",$A$3,"GD","WA","DL")</f>
        <v>#NAME?</v>
      </c>
      <c r="AC14" s="482" t="e">
        <f ca="1">_xll.Get_Balance(AC3,"YTD","USD","Total","A","","001",$A$3,"GD","WA","DL")</f>
        <v>#NAME?</v>
      </c>
      <c r="AD14" s="482" t="e">
        <f ca="1">_xll.Get_Balance(AD3,"YTD","USD","Total","A","","001",$A$3,"GD","WA","DL")</f>
        <v>#NAME?</v>
      </c>
      <c r="AE14" s="482" t="e">
        <f ca="1">_xll.Get_Balance(AE3,"YTD","USD","Total","A","","001",$A$3,"GD","WA","DL")</f>
        <v>#NAME?</v>
      </c>
      <c r="AF14" s="482" t="e">
        <f ca="1">_xll.Get_Balance(AF3,"YTD","USD","Total","A","","001",$A$3,"GD","WA","DL")</f>
        <v>#NAME?</v>
      </c>
    </row>
    <row r="15" spans="1:39">
      <c r="B15" s="481" t="s">
        <v>245</v>
      </c>
      <c r="E15" s="482" t="e">
        <f t="shared" ref="E15:H15" ca="1" si="10">E13-E14</f>
        <v>#NAME?</v>
      </c>
      <c r="F15" s="482" t="e">
        <f t="shared" ca="1" si="10"/>
        <v>#NAME?</v>
      </c>
      <c r="G15" s="482" t="e">
        <f t="shared" ca="1" si="10"/>
        <v>#NAME?</v>
      </c>
      <c r="H15" s="482" t="e">
        <f t="shared" ca="1" si="10"/>
        <v>#NAME?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 t="e">
        <f t="shared" ref="V15:AF15" ca="1" si="11">V13-V14</f>
        <v>#NAME?</v>
      </c>
      <c r="W15" s="482" t="e">
        <f t="shared" ca="1" si="11"/>
        <v>#NAME?</v>
      </c>
      <c r="X15" s="482" t="e">
        <f t="shared" ca="1" si="11"/>
        <v>#NAME?</v>
      </c>
      <c r="Y15" s="482" t="e">
        <f t="shared" ca="1" si="11"/>
        <v>#NAME?</v>
      </c>
      <c r="Z15" s="482" t="e">
        <f t="shared" ca="1" si="11"/>
        <v>#NAME?</v>
      </c>
      <c r="AA15" s="482" t="e">
        <f t="shared" ca="1" si="11"/>
        <v>#NAME?</v>
      </c>
      <c r="AB15" s="482" t="e">
        <f t="shared" ca="1" si="11"/>
        <v>#NAME?</v>
      </c>
      <c r="AC15" s="482" t="e">
        <f t="shared" ca="1" si="11"/>
        <v>#NAME?</v>
      </c>
      <c r="AD15" s="482" t="e">
        <f t="shared" ca="1" si="11"/>
        <v>#NAME?</v>
      </c>
      <c r="AE15" s="482" t="e">
        <f t="shared" ca="1" si="11"/>
        <v>#NAME?</v>
      </c>
      <c r="AF15" s="482" t="e">
        <f t="shared" ca="1" si="11"/>
        <v>#NAME?</v>
      </c>
    </row>
    <row r="16" spans="1:39">
      <c r="A16" s="483" t="s">
        <v>268</v>
      </c>
    </row>
    <row r="17" spans="1:33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</row>
    <row r="18" spans="1:33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</row>
    <row r="19" spans="1:33">
      <c r="A19" s="483"/>
      <c r="B19" s="481" t="s">
        <v>37</v>
      </c>
      <c r="C19" s="491">
        <f>SUM(U19:AF19)</f>
        <v>83964548</v>
      </c>
      <c r="D19" s="491">
        <f t="shared" ref="D19:D28" si="14">SUM(G19:R19)</f>
        <v>118507804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f>Feb!$G23</f>
        <v>13011547</v>
      </c>
      <c r="W19" s="543">
        <f>Mar!$G23</f>
        <v>10479005</v>
      </c>
      <c r="X19" s="543">
        <f>Apr!$G23</f>
        <v>7714478</v>
      </c>
      <c r="Y19" s="543">
        <f>May!$G23</f>
        <v>3297360</v>
      </c>
      <c r="Z19" s="543">
        <f>Jun!$G23</f>
        <v>1968489</v>
      </c>
      <c r="AA19" s="543">
        <f>Jul!$G23</f>
        <v>2145139</v>
      </c>
      <c r="AB19" s="543">
        <f>Aug!$G23</f>
        <v>1956853</v>
      </c>
      <c r="AC19" s="543">
        <f>Sep!$G23</f>
        <v>3273457</v>
      </c>
      <c r="AD19" s="543">
        <f>Oct!$G23</f>
        <v>4833518</v>
      </c>
      <c r="AE19" s="543">
        <f>Nov!$G23</f>
        <v>15375028</v>
      </c>
      <c r="AF19" s="543">
        <f>Dec!$G23</f>
        <v>0</v>
      </c>
    </row>
    <row r="20" spans="1:33">
      <c r="A20" s="483"/>
      <c r="B20" s="481" t="s">
        <v>38</v>
      </c>
      <c r="C20" s="491">
        <f t="shared" ref="C20:C27" si="15">SUM(U20:AF20)</f>
        <v>35336899</v>
      </c>
      <c r="D20" s="491">
        <f t="shared" si="14"/>
        <v>47081391</v>
      </c>
      <c r="E20" s="491">
        <v>1599551</v>
      </c>
      <c r="F20" s="491">
        <v>3880001</v>
      </c>
      <c r="G20" s="491">
        <v>5651303</v>
      </c>
      <c r="H20" s="491">
        <v>7518125</v>
      </c>
      <c r="I20" s="543">
        <v>7025543</v>
      </c>
      <c r="J20" s="543">
        <v>6903553</v>
      </c>
      <c r="K20" s="543">
        <v>5310734</v>
      </c>
      <c r="L20" s="543">
        <v>3390429</v>
      </c>
      <c r="M20" s="543">
        <v>2183609</v>
      </c>
      <c r="N20" s="543">
        <v>1741655</v>
      </c>
      <c r="O20" s="543">
        <v>1476567</v>
      </c>
      <c r="P20" s="543">
        <v>1364087</v>
      </c>
      <c r="Q20" s="543">
        <v>1739755</v>
      </c>
      <c r="R20" s="543">
        <v>2776031</v>
      </c>
      <c r="S20" s="543">
        <v>6141604</v>
      </c>
      <c r="T20" s="543">
        <v>6045485</v>
      </c>
      <c r="U20" s="543">
        <v>6173752</v>
      </c>
      <c r="V20" s="543">
        <f>Feb!$G24</f>
        <v>5630395</v>
      </c>
      <c r="W20" s="543">
        <f>Mar!$G24</f>
        <v>4030672</v>
      </c>
      <c r="X20" s="543">
        <f>Apr!$G24</f>
        <v>3448422</v>
      </c>
      <c r="Y20" s="543">
        <f>May!$G24</f>
        <v>1901440</v>
      </c>
      <c r="Z20" s="543">
        <f>Jun!$G24</f>
        <v>1561904</v>
      </c>
      <c r="AA20" s="543">
        <f>Jul!$G24</f>
        <v>1323231</v>
      </c>
      <c r="AB20" s="543">
        <f>Aug!$G24</f>
        <v>1284422</v>
      </c>
      <c r="AC20" s="543">
        <f>Sep!$G24</f>
        <v>1854848</v>
      </c>
      <c r="AD20" s="543">
        <f>Oct!$G25</f>
        <v>2624293</v>
      </c>
      <c r="AE20" s="543">
        <f>Nov!$G25</f>
        <v>5503520</v>
      </c>
      <c r="AF20" s="543">
        <f>Dec!$G24</f>
        <v>0</v>
      </c>
    </row>
    <row r="21" spans="1:33" hidden="1">
      <c r="A21" s="483"/>
      <c r="B21" s="481" t="s">
        <v>39</v>
      </c>
      <c r="C21" s="491">
        <f t="shared" si="15"/>
        <v>0</v>
      </c>
      <c r="D21" s="491">
        <f t="shared" si="14"/>
        <v>0</v>
      </c>
      <c r="E21" s="491">
        <v>0</v>
      </c>
      <c r="F21" s="491">
        <v>0</v>
      </c>
      <c r="G21" s="491">
        <v>0</v>
      </c>
      <c r="H21" s="491">
        <v>0</v>
      </c>
      <c r="I21" s="543"/>
      <c r="J21" s="543"/>
      <c r="K21" s="543"/>
      <c r="L21" s="543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3"/>
      <c r="AF21" s="543"/>
    </row>
    <row r="22" spans="1:33">
      <c r="A22" s="483"/>
      <c r="B22" s="481" t="s">
        <v>40</v>
      </c>
      <c r="C22" s="491">
        <f t="shared" si="15"/>
        <v>4051936</v>
      </c>
      <c r="D22" s="491">
        <f t="shared" si="14"/>
        <v>4993299</v>
      </c>
      <c r="E22" s="491">
        <v>344046</v>
      </c>
      <c r="F22" s="491">
        <v>595792</v>
      </c>
      <c r="G22" s="491">
        <v>396185</v>
      </c>
      <c r="H22" s="491">
        <v>588721</v>
      </c>
      <c r="I22" s="543">
        <v>534459</v>
      </c>
      <c r="J22" s="543">
        <v>540817</v>
      </c>
      <c r="K22" s="543">
        <v>425342</v>
      </c>
      <c r="L22" s="543">
        <v>407197</v>
      </c>
      <c r="M22" s="543">
        <v>340947</v>
      </c>
      <c r="N22" s="543">
        <v>361843</v>
      </c>
      <c r="O22" s="543">
        <v>251184</v>
      </c>
      <c r="P22" s="543">
        <v>332621</v>
      </c>
      <c r="Q22" s="543">
        <v>330926</v>
      </c>
      <c r="R22" s="543">
        <v>483057</v>
      </c>
      <c r="S22" s="543">
        <v>518418</v>
      </c>
      <c r="T22" s="543">
        <v>377457</v>
      </c>
      <c r="U22" s="543">
        <v>513680</v>
      </c>
      <c r="V22" s="543">
        <f>Feb!$G26</f>
        <v>431734</v>
      </c>
      <c r="W22" s="543">
        <f>Mar!$G26</f>
        <v>335852</v>
      </c>
      <c r="X22" s="543">
        <f>Apr!$G26</f>
        <v>432834</v>
      </c>
      <c r="Y22" s="543">
        <f>May!$G26</f>
        <v>249954</v>
      </c>
      <c r="Z22" s="543">
        <f>Jun!$G26</f>
        <v>322862</v>
      </c>
      <c r="AA22" s="543">
        <f>Jul!$G26</f>
        <v>247078</v>
      </c>
      <c r="AB22" s="543">
        <f>Aug!$G26</f>
        <v>274690</v>
      </c>
      <c r="AC22" s="543">
        <f>Sep!$G26</f>
        <v>336073</v>
      </c>
      <c r="AD22" s="543">
        <f>Oct!$G27</f>
        <v>365802</v>
      </c>
      <c r="AE22" s="543">
        <f>Nov!$G27</f>
        <v>541377</v>
      </c>
      <c r="AF22" s="543">
        <f>Dec!$G26</f>
        <v>0</v>
      </c>
    </row>
    <row r="23" spans="1:33" hidden="1">
      <c r="A23" s="483"/>
      <c r="B23" s="481" t="s">
        <v>41</v>
      </c>
      <c r="C23" s="491">
        <f t="shared" si="15"/>
        <v>0</v>
      </c>
      <c r="D23" s="491">
        <f t="shared" si="14"/>
        <v>0</v>
      </c>
      <c r="E23" s="491">
        <v>0</v>
      </c>
      <c r="F23" s="491">
        <v>0</v>
      </c>
      <c r="G23" s="491">
        <v>0</v>
      </c>
      <c r="H23" s="491">
        <v>0</v>
      </c>
      <c r="I23" s="543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3"/>
      <c r="AC23" s="543"/>
      <c r="AD23" s="543"/>
      <c r="AE23" s="543"/>
      <c r="AF23" s="543"/>
    </row>
    <row r="24" spans="1:33">
      <c r="A24" s="483"/>
      <c r="B24" s="481" t="s">
        <v>42</v>
      </c>
      <c r="C24" s="491">
        <f t="shared" si="15"/>
        <v>0</v>
      </c>
      <c r="D24" s="491">
        <f t="shared" si="14"/>
        <v>0</v>
      </c>
      <c r="E24" s="491">
        <v>0</v>
      </c>
      <c r="F24" s="491">
        <v>0</v>
      </c>
      <c r="G24" s="491">
        <v>0</v>
      </c>
      <c r="H24" s="491">
        <v>0</v>
      </c>
      <c r="I24" s="543">
        <v>0</v>
      </c>
      <c r="J24" s="543">
        <v>0</v>
      </c>
      <c r="K24" s="543">
        <v>0</v>
      </c>
      <c r="L24" s="543">
        <v>0</v>
      </c>
      <c r="M24" s="543">
        <v>0</v>
      </c>
      <c r="N24" s="543">
        <v>0</v>
      </c>
      <c r="O24" s="543">
        <v>0</v>
      </c>
      <c r="P24" s="543">
        <v>0</v>
      </c>
      <c r="Q24" s="543">
        <v>0</v>
      </c>
      <c r="R24" s="543">
        <v>0</v>
      </c>
      <c r="S24" s="543">
        <v>0</v>
      </c>
      <c r="T24" s="543">
        <v>0</v>
      </c>
      <c r="U24" s="543">
        <v>0</v>
      </c>
      <c r="V24" s="543">
        <f>Feb!$G28</f>
        <v>0</v>
      </c>
      <c r="W24" s="543">
        <f>Mar!$G28</f>
        <v>0</v>
      </c>
      <c r="X24" s="543">
        <f>Apr!$G28</f>
        <v>0</v>
      </c>
      <c r="Y24" s="543">
        <f>May!$G28</f>
        <v>0</v>
      </c>
      <c r="Z24" s="543">
        <f>Jun!$G28</f>
        <v>0</v>
      </c>
      <c r="AA24" s="543">
        <f>Jul!$G28</f>
        <v>0</v>
      </c>
      <c r="AB24" s="543">
        <f>Aug!$G28</f>
        <v>0</v>
      </c>
      <c r="AC24" s="543">
        <f>Sep!$G28</f>
        <v>0</v>
      </c>
      <c r="AD24" s="543">
        <f>Oct!$G29</f>
        <v>0</v>
      </c>
      <c r="AE24" s="543">
        <f>Nov!$G29</f>
        <v>0</v>
      </c>
      <c r="AF24" s="543">
        <f>Dec!$G28</f>
        <v>0</v>
      </c>
    </row>
    <row r="25" spans="1:33" hidden="1">
      <c r="A25" s="483"/>
      <c r="B25" s="481" t="s">
        <v>43</v>
      </c>
      <c r="C25" s="491">
        <f t="shared" si="15"/>
        <v>0</v>
      </c>
      <c r="D25" s="491">
        <f t="shared" si="14"/>
        <v>0</v>
      </c>
      <c r="E25" s="491">
        <v>0</v>
      </c>
      <c r="F25" s="491">
        <v>0</v>
      </c>
      <c r="G25" s="491">
        <v>0</v>
      </c>
      <c r="H25" s="491">
        <v>0</v>
      </c>
      <c r="I25" s="543"/>
      <c r="J25" s="543"/>
      <c r="K25" s="543"/>
      <c r="L25" s="543"/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3"/>
      <c r="AF25" s="543"/>
    </row>
    <row r="26" spans="1:33">
      <c r="A26" s="483"/>
      <c r="B26" s="481" t="s">
        <v>74</v>
      </c>
      <c r="C26" s="491">
        <f t="shared" si="15"/>
        <v>26235211</v>
      </c>
      <c r="D26" s="491">
        <f t="shared" si="14"/>
        <v>30501971</v>
      </c>
      <c r="E26" s="491">
        <v>1818699</v>
      </c>
      <c r="F26" s="491">
        <v>2531895</v>
      </c>
      <c r="G26" s="491">
        <v>2936207</v>
      </c>
      <c r="H26" s="491">
        <v>3675604</v>
      </c>
      <c r="I26" s="543">
        <v>3517013</v>
      </c>
      <c r="J26" s="543">
        <v>3103551</v>
      </c>
      <c r="K26" s="543">
        <v>2882510</v>
      </c>
      <c r="L26" s="543">
        <v>2426511</v>
      </c>
      <c r="M26" s="543">
        <v>2096539</v>
      </c>
      <c r="N26" s="543">
        <v>1865473</v>
      </c>
      <c r="O26" s="543">
        <v>1934510</v>
      </c>
      <c r="P26" s="543">
        <v>1781233</v>
      </c>
      <c r="Q26" s="543">
        <v>1975142</v>
      </c>
      <c r="R26" s="543">
        <v>2307678</v>
      </c>
      <c r="S26" s="543">
        <v>3052956</v>
      </c>
      <c r="T26" s="543">
        <v>3180451</v>
      </c>
      <c r="U26" s="543">
        <v>3286166</v>
      </c>
      <c r="V26" s="543">
        <f>Feb!$G30</f>
        <v>2735718</v>
      </c>
      <c r="W26" s="543">
        <f>Mar!$G30</f>
        <v>2608561</v>
      </c>
      <c r="X26" s="543">
        <f>Apr!$G30</f>
        <v>2436951</v>
      </c>
      <c r="Y26" s="543">
        <f>May!$G30</f>
        <v>2203136</v>
      </c>
      <c r="Z26" s="543">
        <f>Jun!$G30</f>
        <v>1941783</v>
      </c>
      <c r="AA26" s="543">
        <f>Jul!$G30</f>
        <v>1912819</v>
      </c>
      <c r="AB26" s="543">
        <f>Aug!$G30</f>
        <v>1943542</v>
      </c>
      <c r="AC26" s="543">
        <f>Sep!$G30</f>
        <v>1945064</v>
      </c>
      <c r="AD26" s="543">
        <f>Oct!$G31</f>
        <v>2201297</v>
      </c>
      <c r="AE26" s="543">
        <f>Nov!$G31</f>
        <v>3020174</v>
      </c>
      <c r="AF26" s="543">
        <f>Dec!$G30</f>
        <v>0</v>
      </c>
    </row>
    <row r="27" spans="1:33" ht="16" thickBot="1">
      <c r="A27" s="483"/>
      <c r="B27" s="481" t="s">
        <v>21</v>
      </c>
      <c r="C27" s="491">
        <f t="shared" si="15"/>
        <v>149588594</v>
      </c>
      <c r="D27" s="542">
        <f t="shared" si="14"/>
        <v>201084465</v>
      </c>
      <c r="E27" s="542">
        <f>SUM(E19:E26)</f>
        <v>6409834</v>
      </c>
      <c r="F27" s="542">
        <f>SUM(F19:F26)</f>
        <v>16252041</v>
      </c>
      <c r="G27" s="542">
        <f t="shared" ref="G27:H27" si="16">SUM(G19:G26)</f>
        <v>24054373</v>
      </c>
      <c r="H27" s="542">
        <f t="shared" si="16"/>
        <v>34418458</v>
      </c>
      <c r="I27" s="542">
        <v>31759465</v>
      </c>
      <c r="J27" s="542">
        <v>30732294</v>
      </c>
      <c r="K27" s="542">
        <v>22715329</v>
      </c>
      <c r="L27" s="542">
        <v>14000465</v>
      </c>
      <c r="M27" s="542">
        <v>8312398</v>
      </c>
      <c r="N27" s="542">
        <v>6514751</v>
      </c>
      <c r="O27" s="542">
        <v>5757349</v>
      </c>
      <c r="P27" s="542">
        <v>5525718</v>
      </c>
      <c r="Q27" s="542">
        <v>6773435</v>
      </c>
      <c r="R27" s="542">
        <v>10520430</v>
      </c>
      <c r="S27" s="542">
        <v>25535994</v>
      </c>
      <c r="T27" s="542">
        <v>28660002</v>
      </c>
      <c r="U27" s="542">
        <v>29883272</v>
      </c>
      <c r="V27" s="542">
        <f t="shared" ref="V27:AF27" si="17">SUM(V19:V26)</f>
        <v>21809394</v>
      </c>
      <c r="W27" s="542">
        <f t="shared" si="17"/>
        <v>17454090</v>
      </c>
      <c r="X27" s="542">
        <f t="shared" si="17"/>
        <v>14032685</v>
      </c>
      <c r="Y27" s="542">
        <f t="shared" si="17"/>
        <v>7651890</v>
      </c>
      <c r="Z27" s="542">
        <f t="shared" si="17"/>
        <v>5795038</v>
      </c>
      <c r="AA27" s="542">
        <f t="shared" si="17"/>
        <v>5628267</v>
      </c>
      <c r="AB27" s="542">
        <f t="shared" si="17"/>
        <v>5459507</v>
      </c>
      <c r="AC27" s="542">
        <f t="shared" si="17"/>
        <v>7409442</v>
      </c>
      <c r="AD27" s="542">
        <f t="shared" si="17"/>
        <v>10024910</v>
      </c>
      <c r="AE27" s="542">
        <f t="shared" si="17"/>
        <v>24440099</v>
      </c>
      <c r="AF27" s="542">
        <f t="shared" si="17"/>
        <v>0</v>
      </c>
    </row>
    <row r="28" spans="1:33" ht="16" thickTop="1">
      <c r="A28" s="483"/>
      <c r="B28" s="481" t="s">
        <v>269</v>
      </c>
      <c r="C28" s="491">
        <f>SUM(U28:AF28)</f>
        <v>83179441</v>
      </c>
      <c r="D28" s="491">
        <f t="shared" si="14"/>
        <v>201084465</v>
      </c>
      <c r="E28" s="491">
        <v>6409834</v>
      </c>
      <c r="F28" s="491">
        <v>16252041</v>
      </c>
      <c r="G28" s="491">
        <v>24054373</v>
      </c>
      <c r="H28" s="491">
        <v>34418458</v>
      </c>
      <c r="I28" s="491">
        <v>31759465</v>
      </c>
      <c r="J28" s="491">
        <v>30732294</v>
      </c>
      <c r="K28" s="491">
        <v>22715329</v>
      </c>
      <c r="L28" s="491">
        <v>14000465</v>
      </c>
      <c r="M28" s="491">
        <v>8312398</v>
      </c>
      <c r="N28" s="491">
        <v>6514751</v>
      </c>
      <c r="O28" s="491">
        <v>5757349</v>
      </c>
      <c r="P28" s="491">
        <v>5525718</v>
      </c>
      <c r="Q28" s="491">
        <v>6773435</v>
      </c>
      <c r="R28" s="491">
        <v>10520430</v>
      </c>
      <c r="S28" s="491">
        <v>25535994</v>
      </c>
      <c r="T28" s="491">
        <v>28660002</v>
      </c>
      <c r="U28" s="491">
        <v>29883272</v>
      </c>
      <c r="V28" s="491">
        <v>21809394</v>
      </c>
      <c r="W28" s="491">
        <v>17454090</v>
      </c>
      <c r="X28" s="491">
        <v>14032685</v>
      </c>
      <c r="Y28" s="491"/>
      <c r="Z28" s="491"/>
      <c r="AA28" s="491"/>
      <c r="AB28" s="491"/>
      <c r="AC28" s="491"/>
      <c r="AD28" s="491"/>
      <c r="AE28" s="491"/>
      <c r="AF28" s="491"/>
      <c r="AG28" s="491"/>
    </row>
    <row r="29" spans="1:33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</row>
    <row r="30" spans="1:33">
      <c r="A30" s="484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D30" si="18">U30+1</f>
        <v>201502</v>
      </c>
      <c r="W30" s="484">
        <f t="shared" si="18"/>
        <v>201503</v>
      </c>
      <c r="X30" s="484">
        <f t="shared" si="18"/>
        <v>201504</v>
      </c>
      <c r="Y30" s="484">
        <f t="shared" si="18"/>
        <v>201505</v>
      </c>
      <c r="Z30" s="484">
        <f t="shared" si="18"/>
        <v>201506</v>
      </c>
      <c r="AA30" s="484">
        <f t="shared" si="18"/>
        <v>201507</v>
      </c>
      <c r="AB30" s="484">
        <f t="shared" si="18"/>
        <v>201508</v>
      </c>
      <c r="AC30" s="484">
        <f t="shared" si="18"/>
        <v>201509</v>
      </c>
      <c r="AD30" s="484">
        <f t="shared" si="18"/>
        <v>201510</v>
      </c>
      <c r="AE30" s="484">
        <f>AD30+1</f>
        <v>201511</v>
      </c>
      <c r="AF30" s="484">
        <f t="shared" ref="AF30" si="19">AE30+1</f>
        <v>201512</v>
      </c>
    </row>
    <row r="31" spans="1:33">
      <c r="A31" s="483"/>
      <c r="B31" s="481" t="s">
        <v>37</v>
      </c>
      <c r="E31" s="492">
        <v>3.3950000000000001E-2</v>
      </c>
      <c r="F31" s="492">
        <v>3.3950000000000001E-2</v>
      </c>
      <c r="G31" s="496" t="s">
        <v>270</v>
      </c>
      <c r="H31" s="496" t="s">
        <v>270</v>
      </c>
      <c r="I31" s="492">
        <v>-2.9299999999999999E-3</v>
      </c>
      <c r="J31" s="492">
        <v>-2.9299999999999999E-3</v>
      </c>
      <c r="K31" s="492">
        <v>-2.9299999999999999E-3</v>
      </c>
      <c r="L31" s="492">
        <v>-2.9299999999999999E-3</v>
      </c>
      <c r="M31" s="492">
        <v>-2.9299999999999999E-3</v>
      </c>
      <c r="N31" s="492">
        <v>-2.9299999999999999E-3</v>
      </c>
      <c r="O31" s="492">
        <v>-2.9299999999999999E-3</v>
      </c>
      <c r="P31" s="492">
        <v>-2.9299999999999999E-3</v>
      </c>
      <c r="Q31" s="492">
        <v>-2.9299999999999999E-3</v>
      </c>
      <c r="R31" s="492">
        <v>-2.9299999999999999E-3</v>
      </c>
      <c r="S31" s="496" t="s">
        <v>270</v>
      </c>
      <c r="T31" s="496" t="s">
        <v>270</v>
      </c>
      <c r="U31" s="492">
        <v>1.436E-2</v>
      </c>
      <c r="V31" s="492">
        <v>1.436E-2</v>
      </c>
      <c r="W31" s="492">
        <v>1.436E-2</v>
      </c>
      <c r="X31" s="492">
        <v>1.436E-2</v>
      </c>
      <c r="Y31" s="492">
        <v>1.436E-2</v>
      </c>
      <c r="Z31" s="492">
        <v>1.436E-2</v>
      </c>
      <c r="AA31" s="492">
        <v>1.436E-2</v>
      </c>
      <c r="AB31" s="492">
        <v>1.436E-2</v>
      </c>
      <c r="AC31" s="492">
        <v>1.436E-2</v>
      </c>
      <c r="AD31" s="492">
        <v>1.436E-2</v>
      </c>
      <c r="AE31" s="496" t="s">
        <v>270</v>
      </c>
      <c r="AF31" s="496" t="s">
        <v>270</v>
      </c>
    </row>
    <row r="32" spans="1:33">
      <c r="A32" s="483"/>
      <c r="B32" s="481" t="s">
        <v>38</v>
      </c>
      <c r="E32" s="492">
        <v>3.0599999999999999E-2</v>
      </c>
      <c r="F32" s="492">
        <v>3.0599999999999999E-2</v>
      </c>
      <c r="G32" s="496" t="s">
        <v>270</v>
      </c>
      <c r="H32" s="496" t="s">
        <v>270</v>
      </c>
      <c r="I32" s="492">
        <v>-5.5599999999999998E-3</v>
      </c>
      <c r="J32" s="492">
        <v>-5.5599999999999998E-3</v>
      </c>
      <c r="K32" s="492">
        <v>-5.5599999999999998E-3</v>
      </c>
      <c r="L32" s="492">
        <v>-5.5599999999999998E-3</v>
      </c>
      <c r="M32" s="492">
        <v>-5.5599999999999998E-3</v>
      </c>
      <c r="N32" s="492">
        <v>-5.5599999999999998E-3</v>
      </c>
      <c r="O32" s="492">
        <v>-5.5599999999999998E-3</v>
      </c>
      <c r="P32" s="492">
        <v>-5.5599999999999998E-3</v>
      </c>
      <c r="Q32" s="492">
        <v>-5.5599999999999998E-3</v>
      </c>
      <c r="R32" s="492">
        <v>-5.5599999999999998E-3</v>
      </c>
      <c r="S32" s="496" t="s">
        <v>270</v>
      </c>
      <c r="T32" s="496" t="s">
        <v>270</v>
      </c>
      <c r="U32" s="492">
        <v>8.0800000000000004E-3</v>
      </c>
      <c r="V32" s="492">
        <v>8.0800000000000004E-3</v>
      </c>
      <c r="W32" s="492">
        <v>8.0800000000000004E-3</v>
      </c>
      <c r="X32" s="492">
        <v>8.0800000000000004E-3</v>
      </c>
      <c r="Y32" s="492">
        <v>8.0800000000000004E-3</v>
      </c>
      <c r="Z32" s="492">
        <v>8.0800000000000004E-3</v>
      </c>
      <c r="AA32" s="492">
        <v>8.0800000000000004E-3</v>
      </c>
      <c r="AB32" s="492">
        <v>8.0800000000000004E-3</v>
      </c>
      <c r="AC32" s="492">
        <v>8.0800000000000004E-3</v>
      </c>
      <c r="AD32" s="492">
        <v>8.0800000000000004E-3</v>
      </c>
      <c r="AE32" s="496" t="s">
        <v>270</v>
      </c>
      <c r="AF32" s="496" t="s">
        <v>270</v>
      </c>
    </row>
    <row r="33" spans="1:39" hidden="1">
      <c r="A33" s="483"/>
      <c r="B33" s="481" t="s">
        <v>39</v>
      </c>
      <c r="E33" s="492"/>
      <c r="F33" s="492"/>
      <c r="G33" s="496" t="s">
        <v>270</v>
      </c>
      <c r="H33" s="496" t="s">
        <v>270</v>
      </c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 t="s">
        <v>270</v>
      </c>
      <c r="T33" s="496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6" t="s">
        <v>270</v>
      </c>
      <c r="AF33" s="496" t="s">
        <v>270</v>
      </c>
    </row>
    <row r="34" spans="1:39">
      <c r="A34" s="483"/>
      <c r="B34" s="481" t="s">
        <v>40</v>
      </c>
      <c r="E34" s="492">
        <v>2.998E-2</v>
      </c>
      <c r="F34" s="492">
        <v>2.998E-2</v>
      </c>
      <c r="G34" s="496" t="s">
        <v>270</v>
      </c>
      <c r="H34" s="496" t="s">
        <v>270</v>
      </c>
      <c r="I34" s="492">
        <v>-1.5820000000000001E-2</v>
      </c>
      <c r="J34" s="492">
        <v>-1.5820000000000001E-2</v>
      </c>
      <c r="K34" s="492">
        <v>-1.5820000000000001E-2</v>
      </c>
      <c r="L34" s="492">
        <v>-1.5820000000000001E-2</v>
      </c>
      <c r="M34" s="492">
        <v>-1.5820000000000001E-2</v>
      </c>
      <c r="N34" s="492">
        <v>-1.5820000000000001E-2</v>
      </c>
      <c r="O34" s="492">
        <v>-1.5820000000000001E-2</v>
      </c>
      <c r="P34" s="492">
        <v>-1.5820000000000001E-2</v>
      </c>
      <c r="Q34" s="492">
        <v>-1.5820000000000001E-2</v>
      </c>
      <c r="R34" s="492">
        <v>-1.5820000000000001E-2</v>
      </c>
      <c r="S34" s="496" t="s">
        <v>270</v>
      </c>
      <c r="T34" s="496" t="s">
        <v>270</v>
      </c>
      <c r="U34" s="492">
        <v>-1.0359999999999999E-2</v>
      </c>
      <c r="V34" s="492">
        <v>-1.0359999999999999E-2</v>
      </c>
      <c r="W34" s="492">
        <v>-1.0359999999999999E-2</v>
      </c>
      <c r="X34" s="492">
        <v>-1.0359999999999999E-2</v>
      </c>
      <c r="Y34" s="492">
        <v>-1.0359999999999999E-2</v>
      </c>
      <c r="Z34" s="492">
        <v>-1.0359999999999999E-2</v>
      </c>
      <c r="AA34" s="492">
        <v>-1.0359999999999999E-2</v>
      </c>
      <c r="AB34" s="492">
        <v>-1.0359999999999999E-2</v>
      </c>
      <c r="AC34" s="492">
        <v>-1.0359999999999999E-2</v>
      </c>
      <c r="AD34" s="492">
        <v>-1.0359999999999999E-2</v>
      </c>
      <c r="AE34" s="496" t="s">
        <v>270</v>
      </c>
      <c r="AF34" s="496" t="s">
        <v>270</v>
      </c>
    </row>
    <row r="35" spans="1:39" hidden="1">
      <c r="A35" s="483"/>
      <c r="B35" s="481" t="s">
        <v>41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</row>
    <row r="36" spans="1:39" ht="16" thickBot="1">
      <c r="A36" s="483"/>
      <c r="B36" s="481" t="s">
        <v>42</v>
      </c>
      <c r="E36" s="492">
        <v>5.7389999999999997E-2</v>
      </c>
      <c r="F36" s="492">
        <v>5.7389999999999997E-2</v>
      </c>
      <c r="G36" s="496" t="s">
        <v>270</v>
      </c>
      <c r="H36" s="496" t="s">
        <v>270</v>
      </c>
      <c r="I36" s="492">
        <v>3.0499999999999999E-2</v>
      </c>
      <c r="J36" s="492">
        <v>3.0499999999999999E-2</v>
      </c>
      <c r="K36" s="492">
        <v>3.0499999999999999E-2</v>
      </c>
      <c r="L36" s="492">
        <v>3.0499999999999999E-2</v>
      </c>
      <c r="M36" s="492">
        <v>3.0499999999999999E-2</v>
      </c>
      <c r="N36" s="492">
        <v>3.0499999999999999E-2</v>
      </c>
      <c r="O36" s="492">
        <v>3.0499999999999999E-2</v>
      </c>
      <c r="P36" s="492">
        <v>3.0499999999999999E-2</v>
      </c>
      <c r="Q36" s="492">
        <v>3.0499999999999999E-2</v>
      </c>
      <c r="R36" s="492">
        <v>3.0499999999999999E-2</v>
      </c>
      <c r="S36" s="496" t="s">
        <v>270</v>
      </c>
      <c r="T36" s="496" t="s">
        <v>270</v>
      </c>
      <c r="U36" s="492">
        <v>-2.3310000000000001E-2</v>
      </c>
      <c r="V36" s="492">
        <v>-2.3310000000000001E-2</v>
      </c>
      <c r="W36" s="492">
        <v>-2.3310000000000001E-2</v>
      </c>
      <c r="X36" s="492">
        <v>-2.3310000000000001E-2</v>
      </c>
      <c r="Y36" s="492">
        <v>-2.3310000000000001E-2</v>
      </c>
      <c r="Z36" s="492">
        <v>-2.3310000000000001E-2</v>
      </c>
      <c r="AA36" s="492">
        <v>-2.3310000000000001E-2</v>
      </c>
      <c r="AB36" s="492">
        <v>-2.3310000000000001E-2</v>
      </c>
      <c r="AC36" s="492">
        <v>-2.3310000000000001E-2</v>
      </c>
      <c r="AD36" s="492">
        <v>-2.3310000000000001E-2</v>
      </c>
      <c r="AE36" s="496" t="s">
        <v>270</v>
      </c>
      <c r="AF36" s="496" t="s">
        <v>270</v>
      </c>
    </row>
    <row r="37" spans="1:39" ht="16" hidden="1" thickBot="1">
      <c r="A37" s="483"/>
      <c r="B37" s="481" t="s">
        <v>43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H37" s="483"/>
      <c r="AI37" s="484"/>
      <c r="AJ37" s="483"/>
      <c r="AK37" s="483"/>
      <c r="AL37" s="483"/>
      <c r="AM37" s="483"/>
    </row>
    <row r="38" spans="1:39" ht="16" thickBot="1">
      <c r="A38" s="483"/>
      <c r="B38" s="481" t="s">
        <v>74</v>
      </c>
      <c r="E38" s="492">
        <v>0</v>
      </c>
      <c r="F38" s="492">
        <v>0</v>
      </c>
      <c r="G38" s="496" t="s">
        <v>270</v>
      </c>
      <c r="H38" s="496" t="s">
        <v>270</v>
      </c>
      <c r="I38" s="492">
        <v>0</v>
      </c>
      <c r="J38" s="492">
        <v>0</v>
      </c>
      <c r="K38" s="492">
        <v>0</v>
      </c>
      <c r="L38" s="492">
        <v>0</v>
      </c>
      <c r="M38" s="492">
        <v>0</v>
      </c>
      <c r="N38" s="492">
        <v>0</v>
      </c>
      <c r="O38" s="492">
        <v>0</v>
      </c>
      <c r="P38" s="492">
        <v>0</v>
      </c>
      <c r="Q38" s="492">
        <v>0</v>
      </c>
      <c r="R38" s="492">
        <v>0</v>
      </c>
      <c r="S38" s="496" t="s">
        <v>270</v>
      </c>
      <c r="T38" s="496" t="s">
        <v>270</v>
      </c>
      <c r="U38" s="492">
        <v>0</v>
      </c>
      <c r="V38" s="492">
        <v>0</v>
      </c>
      <c r="W38" s="492">
        <v>0</v>
      </c>
      <c r="X38" s="492">
        <v>0</v>
      </c>
      <c r="Y38" s="492">
        <v>0</v>
      </c>
      <c r="Z38" s="492">
        <v>0</v>
      </c>
      <c r="AA38" s="492">
        <v>0</v>
      </c>
      <c r="AB38" s="492">
        <v>0</v>
      </c>
      <c r="AC38" s="492">
        <v>0</v>
      </c>
      <c r="AD38" s="492">
        <v>0</v>
      </c>
      <c r="AE38" s="496" t="s">
        <v>270</v>
      </c>
      <c r="AF38" s="496" t="s">
        <v>270</v>
      </c>
      <c r="AH38" s="513">
        <f>AH4</f>
        <v>201504</v>
      </c>
      <c r="AI38" s="526"/>
      <c r="AJ38" s="514"/>
      <c r="AK38" s="514"/>
      <c r="AL38" s="514"/>
      <c r="AM38" s="515"/>
    </row>
    <row r="39" spans="1:39">
      <c r="A39" s="483" t="s">
        <v>293</v>
      </c>
      <c r="E39" s="492"/>
      <c r="F39" s="492"/>
      <c r="G39" s="496"/>
      <c r="H39" s="496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H39" s="497" t="s">
        <v>298</v>
      </c>
      <c r="AI39" s="527">
        <v>419600</v>
      </c>
      <c r="AJ39" s="498" t="s">
        <v>288</v>
      </c>
      <c r="AK39" s="498" t="s">
        <v>289</v>
      </c>
      <c r="AL39" s="519">
        <v>0</v>
      </c>
      <c r="AM39" s="520">
        <f>IF(SUMIF(E40:AF40,AH38,E44:AF44)&gt;0,SUMIF(E40:AF40,AH38,E44:AF44),0)</f>
        <v>0</v>
      </c>
    </row>
    <row r="40" spans="1:39" s="483" customFormat="1">
      <c r="A40" s="484">
        <v>191000</v>
      </c>
      <c r="B40" s="485" t="s">
        <v>256</v>
      </c>
      <c r="C40" s="486" t="s">
        <v>251</v>
      </c>
      <c r="D40" s="679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D40" si="20">U40+1</f>
        <v>201502</v>
      </c>
      <c r="W40" s="484">
        <f t="shared" si="20"/>
        <v>201503</v>
      </c>
      <c r="X40" s="484">
        <f t="shared" si="20"/>
        <v>201504</v>
      </c>
      <c r="Y40" s="484">
        <f t="shared" si="20"/>
        <v>201505</v>
      </c>
      <c r="Z40" s="484">
        <f t="shared" si="20"/>
        <v>201506</v>
      </c>
      <c r="AA40" s="484">
        <f t="shared" si="20"/>
        <v>201507</v>
      </c>
      <c r="AB40" s="484">
        <f t="shared" si="20"/>
        <v>201508</v>
      </c>
      <c r="AC40" s="484">
        <f t="shared" si="20"/>
        <v>201509</v>
      </c>
      <c r="AD40" s="484">
        <f t="shared" si="20"/>
        <v>201510</v>
      </c>
      <c r="AE40" s="484">
        <f>AD40+1</f>
        <v>201511</v>
      </c>
      <c r="AF40" s="484">
        <f t="shared" ref="AF40" si="21">AE40+1</f>
        <v>201512</v>
      </c>
      <c r="AH40" s="499" t="s">
        <v>299</v>
      </c>
      <c r="AI40" s="528">
        <v>431600</v>
      </c>
      <c r="AJ40" s="358" t="s">
        <v>288</v>
      </c>
      <c r="AK40" s="358" t="s">
        <v>289</v>
      </c>
      <c r="AL40" s="381">
        <f>IF(SUMIF(E40:AF40,AH38,E44:AF44)&lt;0,-SUMIF(E40:AF40,AH38,E44:AF44),0)</f>
        <v>1988.9074592633983</v>
      </c>
      <c r="AM40" s="500">
        <v>0</v>
      </c>
    </row>
    <row r="41" spans="1:39" s="483" customFormat="1">
      <c r="B41" s="485" t="s">
        <v>257</v>
      </c>
      <c r="C41" s="482"/>
      <c r="E41" s="488">
        <v>3.2500000000000001E-2</v>
      </c>
      <c r="F41" s="488">
        <v>3.2500000000000001E-2</v>
      </c>
      <c r="G41" s="488">
        <v>3.2500000000000001E-2</v>
      </c>
      <c r="H41" s="488">
        <v>3.2500000000000001E-2</v>
      </c>
      <c r="I41" s="488">
        <v>3.2500000000000001E-2</v>
      </c>
      <c r="J41" s="488">
        <v>3.2500000000000001E-2</v>
      </c>
      <c r="K41" s="488">
        <v>3.2500000000000001E-2</v>
      </c>
      <c r="L41" s="488">
        <v>3.2500000000000001E-2</v>
      </c>
      <c r="M41" s="488">
        <v>3.2500000000000001E-2</v>
      </c>
      <c r="N41" s="488">
        <v>3.2500000000000001E-2</v>
      </c>
      <c r="O41" s="488">
        <v>3.2500000000000001E-2</v>
      </c>
      <c r="P41" s="488">
        <v>3.2500000000000001E-2</v>
      </c>
      <c r="Q41" s="488">
        <v>3.2500000000000001E-2</v>
      </c>
      <c r="R41" s="488">
        <v>3.2500000000000001E-2</v>
      </c>
      <c r="S41" s="488">
        <v>3.2500000000000001E-2</v>
      </c>
      <c r="T41" s="488">
        <v>3.2500000000000001E-2</v>
      </c>
      <c r="U41" s="488">
        <v>3.2500000000000001E-2</v>
      </c>
      <c r="V41" s="488">
        <v>3.2500000000000001E-2</v>
      </c>
      <c r="W41" s="488">
        <v>3.2500000000000001E-2</v>
      </c>
      <c r="X41" s="488">
        <v>3.2500000000000001E-2</v>
      </c>
      <c r="Y41" s="488">
        <v>3.2500000000000001E-2</v>
      </c>
      <c r="Z41" s="488">
        <v>3.2500000000000001E-2</v>
      </c>
      <c r="AA41" s="488">
        <v>3.2500000000000001E-2</v>
      </c>
      <c r="AB41" s="488">
        <v>3.2500000000000001E-2</v>
      </c>
      <c r="AC41" s="488">
        <v>3.2500000000000001E-2</v>
      </c>
      <c r="AD41" s="488">
        <v>3.2500000000000001E-2</v>
      </c>
      <c r="AE41" s="488">
        <v>3.2500000000000001E-2</v>
      </c>
      <c r="AF41" s="488">
        <v>3.2500000000000001E-2</v>
      </c>
      <c r="AH41" s="499" t="s">
        <v>300</v>
      </c>
      <c r="AI41" s="528">
        <v>191000</v>
      </c>
      <c r="AJ41" s="358" t="s">
        <v>288</v>
      </c>
      <c r="AK41" s="358" t="s">
        <v>289</v>
      </c>
      <c r="AL41" s="381">
        <f>IF((SUMIF(E40:AF40,AH38,E43:AF43)+SUMIF(E40:AF40,AH38,E44:AF44))&gt;0,(SUMIF(E40:AF40,AH38,E43:AF43)+SUMIF(E40:AF40,AH38,E44:AF44)),0)</f>
        <v>132170.08614073659</v>
      </c>
      <c r="AM41" s="500">
        <f>IF((SUMIF(E40:AF40,AH38,E43:AF43)+SUMIF(E40:AF40,AH38,E44:AF44))&lt;0,-(SUMIF(E40:AF40,AH38,E43:AF43)+SUMIF(E40:AF40,AH38,E44:AF44)),0)</f>
        <v>0</v>
      </c>
    </row>
    <row r="42" spans="1:39">
      <c r="A42" s="493"/>
      <c r="B42" s="481" t="s">
        <v>253</v>
      </c>
      <c r="E42" s="482">
        <v>-194854.27149590768</v>
      </c>
      <c r="F42" s="482">
        <f>E47</f>
        <v>-46035.360287444513</v>
      </c>
      <c r="G42" s="482">
        <f>F47</f>
        <v>404885.58467682183</v>
      </c>
      <c r="H42" s="482">
        <f>G47</f>
        <v>1486369.5928734979</v>
      </c>
      <c r="I42" s="482">
        <v>1388326.8065187801</v>
      </c>
      <c r="J42" s="482">
        <v>1256080.2312424269</v>
      </c>
      <c r="K42" s="482">
        <v>1153258.7731084346</v>
      </c>
      <c r="L42" s="482">
        <v>1078717.1045833002</v>
      </c>
      <c r="M42" s="482">
        <v>1033496.2426010612</v>
      </c>
      <c r="N42" s="482">
        <v>1007906.7387058339</v>
      </c>
      <c r="O42" s="482">
        <v>987738.42680743511</v>
      </c>
      <c r="P42" s="482">
        <v>972066.68936231779</v>
      </c>
      <c r="Q42" s="482">
        <v>955827.4742971377</v>
      </c>
      <c r="R42" s="482">
        <v>935484.97275235492</v>
      </c>
      <c r="S42" s="482">
        <v>900376.74388303224</v>
      </c>
      <c r="T42" s="482">
        <v>-1984640.7833043733</v>
      </c>
      <c r="U42" s="482">
        <v>-1530288.7769039478</v>
      </c>
      <c r="V42" s="482">
        <f>U47</f>
        <v>-1203520.6941716045</v>
      </c>
      <c r="W42" s="482">
        <f t="shared" ref="W42:AD42" si="22">V47</f>
        <v>-978605.01769356499</v>
      </c>
      <c r="X42" s="482">
        <f t="shared" si="22"/>
        <v>-801445.32791263924</v>
      </c>
      <c r="Y42" s="482">
        <f t="shared" si="22"/>
        <v>-669275.24177190254</v>
      </c>
      <c r="Z42" s="482">
        <f t="shared" si="22"/>
        <v>-610882.24266902648</v>
      </c>
      <c r="AA42" s="482">
        <f t="shared" si="22"/>
        <v>-574943.04011245095</v>
      </c>
      <c r="AB42" s="482">
        <f t="shared" si="22"/>
        <v>-537511.27700320142</v>
      </c>
      <c r="AC42" s="482">
        <f t="shared" si="22"/>
        <v>-503286.03358886426</v>
      </c>
      <c r="AD42" s="482">
        <f t="shared" si="22"/>
        <v>-446057.56644618412</v>
      </c>
      <c r="AE42" s="482">
        <f>AD47</f>
        <v>-360324.16779451753</v>
      </c>
      <c r="AF42" s="482">
        <f t="shared" ref="AF42" si="23">AE47</f>
        <v>-361300.04574896104</v>
      </c>
      <c r="AH42" s="499" t="s">
        <v>301</v>
      </c>
      <c r="AI42" s="528">
        <v>805110</v>
      </c>
      <c r="AJ42" s="358" t="s">
        <v>288</v>
      </c>
      <c r="AK42" s="358" t="s">
        <v>289</v>
      </c>
      <c r="AL42" s="381">
        <f>IF((SUMIF(E40:AF40,AH38,E43:AF43))&lt;0,-(SUMIF(E40:AF40,AH38,E43:AF43)),0)</f>
        <v>0</v>
      </c>
      <c r="AM42" s="500">
        <f>IF((SUMIF(E40:AF40,AH38,E43:AF43))&gt;0,(SUMIF(E40:AF40,AH38,E43:AF43)),0)</f>
        <v>134158.99359999999</v>
      </c>
    </row>
    <row r="43" spans="1:39">
      <c r="B43" s="481" t="s">
        <v>23</v>
      </c>
      <c r="C43" s="482">
        <f>SUM(U43:AF43)</f>
        <v>1189629.81828</v>
      </c>
      <c r="D43" s="494">
        <f>SUM(G43:R43)</f>
        <v>-672918.74727999989</v>
      </c>
      <c r="E43" s="482">
        <f>SUMPRODUCT(E19:E26,E31:E38)</f>
        <v>149144.67478</v>
      </c>
      <c r="F43" s="482">
        <f>SUMPRODUCT(F19:F26,F31:F38)</f>
        <v>450435.65911000001</v>
      </c>
      <c r="G43" s="482">
        <v>-82277.84</v>
      </c>
      <c r="H43" s="482">
        <v>-101930.34</v>
      </c>
      <c r="I43" s="482">
        <v>-108116.73896</v>
      </c>
      <c r="J43" s="482">
        <v>-106079.69250999999</v>
      </c>
      <c r="K43" s="482">
        <v>-77560.048470000009</v>
      </c>
      <c r="L43" s="482">
        <v>-48077.28282</v>
      </c>
      <c r="M43" s="482">
        <v>-28350.165369999999</v>
      </c>
      <c r="N43" s="482">
        <v>-22867.09346</v>
      </c>
      <c r="O43" s="482">
        <v>-18322.051239999997</v>
      </c>
      <c r="P43" s="482">
        <v>-18846.37455</v>
      </c>
      <c r="Q43" s="482">
        <v>-22900.190279999999</v>
      </c>
      <c r="R43" s="482">
        <v>-37590.929620000003</v>
      </c>
      <c r="S43" s="557">
        <v>257672.26615000004</v>
      </c>
      <c r="T43" s="557">
        <v>312766.45</v>
      </c>
      <c r="U43" s="482">
        <v>330465.11</v>
      </c>
      <c r="V43" s="482">
        <f>SUMPRODUCT(V19:V26,V31:V38)</f>
        <v>227866.64228000003</v>
      </c>
      <c r="W43" s="482">
        <f t="shared" ref="W43:X43" si="24">SUMPRODUCT(W19:W26,W31:W38)</f>
        <v>179566.91484000001</v>
      </c>
      <c r="X43" s="482">
        <f t="shared" si="24"/>
        <v>134158.99359999999</v>
      </c>
      <c r="Y43" s="482">
        <f>SUMPRODUCT(Y19:Y26,Y31:Y38)</f>
        <v>60124.201359999999</v>
      </c>
      <c r="Z43" s="482">
        <f t="shared" ref="Z43:AD43" si="25">SUMPRODUCT(Z19:Z26,Z31:Z38)</f>
        <v>37542.836040000002</v>
      </c>
      <c r="AA43" s="482">
        <f t="shared" si="25"/>
        <v>38936.174440000003</v>
      </c>
      <c r="AB43" s="482">
        <f t="shared" si="25"/>
        <v>35632.750439999996</v>
      </c>
      <c r="AC43" s="482">
        <f t="shared" si="25"/>
        <v>58512.29808</v>
      </c>
      <c r="AD43" s="482">
        <f t="shared" si="25"/>
        <v>86823.897200000007</v>
      </c>
      <c r="AE43" s="563"/>
      <c r="AF43" s="563"/>
      <c r="AH43" s="153" t="s">
        <v>156</v>
      </c>
      <c r="AI43" s="209">
        <f>AI41</f>
        <v>191000</v>
      </c>
      <c r="AJ43" s="209" t="str">
        <f t="shared" ref="AJ43:AK44" si="26">AJ41</f>
        <v>GD</v>
      </c>
      <c r="AK43" s="209" t="str">
        <f t="shared" si="26"/>
        <v>WA</v>
      </c>
      <c r="AL43" s="472">
        <v>0</v>
      </c>
      <c r="AM43" s="462">
        <v>0</v>
      </c>
    </row>
    <row r="44" spans="1:39" ht="16" thickBot="1">
      <c r="B44" s="481" t="s">
        <v>4</v>
      </c>
      <c r="C44" s="482">
        <f t="shared" ref="C44:C46" si="27">SUM(U44:AF44)</f>
        <v>-21619.608082249844</v>
      </c>
      <c r="D44" s="494">
        <f>SUM(G44:R44)</f>
        <v>36498.65781942301</v>
      </c>
      <c r="E44" s="482">
        <f>(E42*(E41/12))+((E43/2)*(E41/12))</f>
        <v>-325.7635715368333</v>
      </c>
      <c r="F44" s="482">
        <f>(F42*(F41/12))+((F43/2)*(F41/12))</f>
        <v>485.28585426629616</v>
      </c>
      <c r="G44" s="482">
        <f>((G42+G45)*(G41/12))+(((G43+G46)/2)*(G41/12))</f>
        <v>4107.1195298889406</v>
      </c>
      <c r="H44" s="489">
        <f>(H42*(H41/12))+((H43/2)*(H41/12))</f>
        <v>3887.5536452823899</v>
      </c>
      <c r="I44" s="489">
        <v>3613.643683646696</v>
      </c>
      <c r="J44" s="489">
        <v>3258.2343760076146</v>
      </c>
      <c r="K44" s="489">
        <v>3018.3799448655523</v>
      </c>
      <c r="L44" s="489">
        <v>2856.4208377610212</v>
      </c>
      <c r="M44" s="489">
        <v>2760.6614747726658</v>
      </c>
      <c r="N44" s="489">
        <v>2698.7815616012172</v>
      </c>
      <c r="O44" s="489">
        <v>2650.3137948826366</v>
      </c>
      <c r="P44" s="489">
        <v>2607.1594848198192</v>
      </c>
      <c r="Q44" s="489">
        <v>2557.688735217248</v>
      </c>
      <c r="R44" s="489">
        <v>2482.7007506772115</v>
      </c>
      <c r="S44" s="559">
        <v>-5609.7233374053303</v>
      </c>
      <c r="T44" s="560">
        <v>-4753.3635995743443</v>
      </c>
      <c r="U44" s="489">
        <v>-3697.0272676565255</v>
      </c>
      <c r="V44" s="489">
        <f t="shared" ref="V44:AD44" si="28">((V42*(V41/12))+((V43/2)*(V41/12)))</f>
        <v>-2950.9658019605959</v>
      </c>
      <c r="W44" s="489">
        <f>((W42*(W41/12))+((W43/2)*(W41/12)))</f>
        <v>-2407.2250590742387</v>
      </c>
      <c r="X44" s="489">
        <f t="shared" si="28"/>
        <v>-1988.9074592633983</v>
      </c>
      <c r="Y44" s="489">
        <f t="shared" si="28"/>
        <v>-1731.2022571239027</v>
      </c>
      <c r="Z44" s="489">
        <f t="shared" si="28"/>
        <v>-1603.6334834244467</v>
      </c>
      <c r="AA44" s="489">
        <f t="shared" si="28"/>
        <v>-1504.4113307503878</v>
      </c>
      <c r="AB44" s="489">
        <f t="shared" si="28"/>
        <v>-1407.5070256628373</v>
      </c>
      <c r="AC44" s="489">
        <f t="shared" si="28"/>
        <v>-1283.8309373198406</v>
      </c>
      <c r="AD44" s="489">
        <f t="shared" si="28"/>
        <v>-1090.4985483334153</v>
      </c>
      <c r="AE44" s="560">
        <f>((AE42+AE45)*(AE41/12))+(((AE43+AE46)/2)*(AE41/12))</f>
        <v>-975.87795444348501</v>
      </c>
      <c r="AF44" s="560">
        <f>((AF42+AF45)*(AF41/12))+(((AF43+AF46)/2)*(AF41/12))</f>
        <v>-978.5209572367695</v>
      </c>
      <c r="AH44" s="154" t="str">
        <f>AH43</f>
        <v>Large Customer Refund</v>
      </c>
      <c r="AI44" s="561">
        <f>AI42</f>
        <v>805110</v>
      </c>
      <c r="AJ44" s="561" t="str">
        <f t="shared" si="26"/>
        <v>GD</v>
      </c>
      <c r="AK44" s="561" t="str">
        <f t="shared" si="26"/>
        <v>WA</v>
      </c>
      <c r="AL44" s="464">
        <f>AM43</f>
        <v>0</v>
      </c>
      <c r="AM44" s="473">
        <f>AL43</f>
        <v>0</v>
      </c>
    </row>
    <row r="45" spans="1:39" ht="16" thickBot="1">
      <c r="B45" s="481" t="s">
        <v>259</v>
      </c>
      <c r="C45" s="482">
        <f t="shared" si="27"/>
        <v>0</v>
      </c>
      <c r="E45" s="482">
        <v>0</v>
      </c>
      <c r="F45" s="482">
        <v>0</v>
      </c>
      <c r="G45" s="482">
        <v>1145801.7486667871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-3063910.6100000003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63">
        <f>-AE11-AE10-AE9</f>
        <v>0</v>
      </c>
      <c r="AF45" s="563">
        <v>0</v>
      </c>
      <c r="AH45" s="516"/>
      <c r="AI45" s="530"/>
      <c r="AJ45" s="517"/>
      <c r="AK45" s="517"/>
      <c r="AL45" s="517" t="s">
        <v>159</v>
      </c>
      <c r="AM45" s="518">
        <f>SUM(AL39:AL44)-SUM(AM39:AM44)</f>
        <v>0</v>
      </c>
    </row>
    <row r="46" spans="1:39">
      <c r="B46" s="481" t="s">
        <v>148</v>
      </c>
      <c r="C46" s="482">
        <f t="shared" si="27"/>
        <v>0</v>
      </c>
      <c r="E46" s="482">
        <v>0</v>
      </c>
      <c r="F46" s="482">
        <v>0</v>
      </c>
      <c r="G46" s="482">
        <v>13852.98</v>
      </c>
      <c r="H46" s="482">
        <v>0</v>
      </c>
      <c r="I46" s="538">
        <v>-27743.479999999981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-73169.460000000006</v>
      </c>
      <c r="T46" s="557">
        <v>146338.92000000001</v>
      </c>
      <c r="U46" s="563">
        <v>0</v>
      </c>
      <c r="V46" s="482">
        <v>0</v>
      </c>
      <c r="W46" s="482">
        <v>0</v>
      </c>
      <c r="X46" s="482">
        <v>0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63"/>
      <c r="AF46" s="563">
        <f>-AE46*2</f>
        <v>0</v>
      </c>
    </row>
    <row r="47" spans="1:39" ht="16" thickBot="1">
      <c r="B47" s="481" t="s">
        <v>56</v>
      </c>
      <c r="C47" s="541">
        <f>SUM(C43:C46)</f>
        <v>1168010.2101977502</v>
      </c>
      <c r="D47" s="541"/>
      <c r="E47" s="541">
        <f>SUM(E42:E46)</f>
        <v>-46035.360287444513</v>
      </c>
      <c r="F47" s="541">
        <f t="shared" ref="F47:H47" si="29">SUM(F42:F46)</f>
        <v>404885.58467682183</v>
      </c>
      <c r="G47" s="541">
        <f t="shared" si="29"/>
        <v>1486369.5928734979</v>
      </c>
      <c r="H47" s="541">
        <f t="shared" si="29"/>
        <v>1388326.8065187801</v>
      </c>
      <c r="I47" s="541">
        <v>1256080.2312424269</v>
      </c>
      <c r="J47" s="541">
        <v>1153258.7731084346</v>
      </c>
      <c r="K47" s="541">
        <v>1078717.1045833002</v>
      </c>
      <c r="L47" s="541">
        <v>1033496.2426010612</v>
      </c>
      <c r="M47" s="541">
        <v>1007906.7387058339</v>
      </c>
      <c r="N47" s="541">
        <v>987738.42680743511</v>
      </c>
      <c r="O47" s="541">
        <v>972066.68936231779</v>
      </c>
      <c r="P47" s="541">
        <v>955827.4742971377</v>
      </c>
      <c r="Q47" s="541">
        <v>935484.97275235492</v>
      </c>
      <c r="R47" s="541">
        <v>900376.74388303224</v>
      </c>
      <c r="S47" s="541">
        <v>-1984640.7833043733</v>
      </c>
      <c r="T47" s="541">
        <v>-1530288.7769039478</v>
      </c>
      <c r="U47" s="541">
        <v>-1203520.6941716045</v>
      </c>
      <c r="V47" s="541">
        <f t="shared" ref="V47:AF47" si="30">SUM(V42:V46)</f>
        <v>-978605.01769356499</v>
      </c>
      <c r="W47" s="541">
        <f t="shared" si="30"/>
        <v>-801445.32791263924</v>
      </c>
      <c r="X47" s="541">
        <f t="shared" si="30"/>
        <v>-669275.24177190254</v>
      </c>
      <c r="Y47" s="541">
        <f t="shared" si="30"/>
        <v>-610882.24266902648</v>
      </c>
      <c r="Z47" s="541">
        <f t="shared" si="30"/>
        <v>-574943.04011245095</v>
      </c>
      <c r="AA47" s="541">
        <f t="shared" si="30"/>
        <v>-537511.27700320142</v>
      </c>
      <c r="AB47" s="541">
        <f t="shared" si="30"/>
        <v>-503286.03358886426</v>
      </c>
      <c r="AC47" s="541">
        <f t="shared" si="30"/>
        <v>-446057.56644618412</v>
      </c>
      <c r="AD47" s="541">
        <f t="shared" si="30"/>
        <v>-360324.16779451753</v>
      </c>
      <c r="AE47" s="541">
        <f t="shared" si="30"/>
        <v>-361300.04574896104</v>
      </c>
      <c r="AF47" s="541">
        <f t="shared" si="30"/>
        <v>-362278.5667061978</v>
      </c>
    </row>
    <row r="48" spans="1:39" ht="16" thickTop="1">
      <c r="B48" s="481" t="s">
        <v>260</v>
      </c>
      <c r="E48" s="482" t="e">
        <f ca="1">_xll.Get_Balance(E40,"YTD","USD","Total","A","","001",$A$40,"GD","WA","DL")</f>
        <v>#NAME?</v>
      </c>
      <c r="F48" s="482" t="e">
        <f ca="1">_xll.Get_Balance(F40,"YTD","USD","Total","A","","001",$A$40,"GD","WA","DL")</f>
        <v>#NAME?</v>
      </c>
      <c r="G48" s="482" t="e">
        <f ca="1">_xll.Get_Balance(G40,"YTD","USD","Total","A","","001",$A$40,"GD","WA","DL")</f>
        <v>#NAME?</v>
      </c>
      <c r="H48" s="482" t="e">
        <f ca="1">_xll.Get_Balance(H40,"YTD","USD","Total","A","","001",$A$40,"GD","WA","DL")</f>
        <v>#NAME?</v>
      </c>
      <c r="I48" s="482">
        <v>1256080.45</v>
      </c>
      <c r="J48" s="482">
        <v>1153258.99</v>
      </c>
      <c r="K48" s="482">
        <v>1078717.32</v>
      </c>
      <c r="L48" s="482">
        <v>1033496.46</v>
      </c>
      <c r="M48" s="482">
        <v>1007906.96</v>
      </c>
      <c r="N48" s="482">
        <v>987738.65</v>
      </c>
      <c r="O48" s="482">
        <v>972066.91</v>
      </c>
      <c r="P48" s="482">
        <v>955827.69</v>
      </c>
      <c r="Q48" s="482">
        <v>935485.19</v>
      </c>
      <c r="R48" s="482">
        <v>900376.96</v>
      </c>
      <c r="S48" s="482">
        <v>-1984640.57</v>
      </c>
      <c r="T48" s="482">
        <v>-1530288.56</v>
      </c>
      <c r="U48" s="482">
        <v>-1203520.48</v>
      </c>
      <c r="V48" s="482" t="e">
        <f ca="1">_xll.Get_Balance(V40,"YTD","USD","Total","A","","001",$A$40,"GD","WA","DL")</f>
        <v>#NAME?</v>
      </c>
      <c r="W48" s="482" t="e">
        <f ca="1">_xll.Get_Balance(W40,"YTD","USD","Total","A","","001",$A$40,"GD","WA","DL")</f>
        <v>#NAME?</v>
      </c>
      <c r="X48" s="482" t="e">
        <f ca="1">_xll.Get_Balance(X40,"YTD","USD","Total","A","","001",$A$40,"GD","WA","DL")</f>
        <v>#NAME?</v>
      </c>
      <c r="Y48" s="482" t="e">
        <f ca="1">_xll.Get_Balance(Y40,"YTD","USD","Total","A","","001",$A$40,"GD","WA","DL")</f>
        <v>#NAME?</v>
      </c>
      <c r="Z48" s="482" t="e">
        <f ca="1">_xll.Get_Balance(Z40,"YTD","USD","Total","A","","001",$A$40,"GD","WA","DL")</f>
        <v>#NAME?</v>
      </c>
      <c r="AA48" s="482" t="e">
        <f ca="1">_xll.Get_Balance(AA40,"YTD","USD","Total","A","","001",$A$40,"GD","WA","DL")</f>
        <v>#NAME?</v>
      </c>
      <c r="AB48" s="482" t="e">
        <f ca="1">_xll.Get_Balance(AB40,"YTD","USD","Total","A","","001",$A$40,"GD","WA","DL")</f>
        <v>#NAME?</v>
      </c>
      <c r="AC48" s="482" t="e">
        <f ca="1">_xll.Get_Balance(AC40,"YTD","USD","Total","A","","001",$A$40,"GD","WA","DL")</f>
        <v>#NAME?</v>
      </c>
      <c r="AD48" s="482" t="e">
        <f ca="1">_xll.Get_Balance(AD40,"YTD","USD","Total","A","","001",$A$40,"GD","WA","DL")</f>
        <v>#NAME?</v>
      </c>
      <c r="AE48" s="482" t="e">
        <f ca="1">_xll.Get_Balance(AE40,"YTD","USD","Total","A","","001",$A$40,"GD","WA","DL")</f>
        <v>#NAME?</v>
      </c>
      <c r="AF48" s="482" t="e">
        <f ca="1">_xll.Get_Balance(AF40,"YTD","USD","Total","A","","001",$A$40,"GD","WA","DL")</f>
        <v>#NAME?</v>
      </c>
      <c r="AL48" s="563"/>
    </row>
    <row r="49" spans="1:38">
      <c r="B49" s="481" t="s">
        <v>245</v>
      </c>
      <c r="E49" s="482" t="e">
        <f t="shared" ref="E49:H49" ca="1" si="31">E47-E48</f>
        <v>#NAME?</v>
      </c>
      <c r="F49" s="482" t="e">
        <f t="shared" ca="1" si="31"/>
        <v>#NAME?</v>
      </c>
      <c r="G49" s="482" t="e">
        <f t="shared" ca="1" si="31"/>
        <v>#NAME?</v>
      </c>
      <c r="H49" s="482" t="e">
        <f t="shared" ca="1" si="31"/>
        <v>#NAME?</v>
      </c>
      <c r="I49" s="482">
        <v>-0.21875757304951549</v>
      </c>
      <c r="J49" s="482">
        <v>-0.21689156536012888</v>
      </c>
      <c r="K49" s="482">
        <v>-0.21541669988073409</v>
      </c>
      <c r="L49" s="482">
        <v>-0.2173989387229085</v>
      </c>
      <c r="M49" s="482">
        <v>-0.22129416605457664</v>
      </c>
      <c r="N49" s="482">
        <v>-0.22319256491027772</v>
      </c>
      <c r="O49" s="482">
        <v>-0.22063768224325031</v>
      </c>
      <c r="P49" s="482">
        <v>-0.21570286224596202</v>
      </c>
      <c r="Q49" s="482">
        <v>-0.21724764502141625</v>
      </c>
      <c r="R49" s="482">
        <v>-0.21611696772743016</v>
      </c>
      <c r="S49" s="482">
        <v>-0.21330437320284545</v>
      </c>
      <c r="T49" s="482">
        <v>-0.21690394775941968</v>
      </c>
      <c r="U49" s="482">
        <v>-0.21417160448618233</v>
      </c>
      <c r="V49" s="482" t="e">
        <f t="shared" ref="V49:AF49" ca="1" si="32">V47-V48</f>
        <v>#NAME?</v>
      </c>
      <c r="W49" s="482" t="e">
        <f t="shared" ca="1" si="32"/>
        <v>#NAME?</v>
      </c>
      <c r="X49" s="482" t="e">
        <f t="shared" ca="1" si="32"/>
        <v>#NAME?</v>
      </c>
      <c r="Y49" s="482" t="e">
        <f t="shared" ca="1" si="32"/>
        <v>#NAME?</v>
      </c>
      <c r="Z49" s="482" t="e">
        <f t="shared" ca="1" si="32"/>
        <v>#NAME?</v>
      </c>
      <c r="AA49" s="482" t="e">
        <f t="shared" ca="1" si="32"/>
        <v>#NAME?</v>
      </c>
      <c r="AB49" s="482" t="e">
        <f t="shared" ca="1" si="32"/>
        <v>#NAME?</v>
      </c>
      <c r="AC49" s="482" t="e">
        <f t="shared" ca="1" si="32"/>
        <v>#NAME?</v>
      </c>
      <c r="AD49" s="482" t="e">
        <f t="shared" ca="1" si="32"/>
        <v>#NAME?</v>
      </c>
      <c r="AE49" s="482" t="e">
        <f t="shared" ca="1" si="32"/>
        <v>#NAME?</v>
      </c>
      <c r="AF49" s="482" t="e">
        <f t="shared" ca="1" si="32"/>
        <v>#NAME?</v>
      </c>
    </row>
    <row r="51" spans="1:38">
      <c r="A51" s="483" t="s">
        <v>292</v>
      </c>
      <c r="E51" s="535"/>
      <c r="F51" s="535"/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5"/>
      <c r="S51" s="535"/>
      <c r="T51" s="535"/>
      <c r="U51" s="535"/>
      <c r="V51" s="535"/>
      <c r="W51" s="535"/>
      <c r="X51" s="535"/>
      <c r="Y51" s="535"/>
      <c r="Z51" s="535"/>
      <c r="AA51" s="535"/>
      <c r="AB51" s="535"/>
      <c r="AC51" s="535"/>
      <c r="AD51" s="535"/>
      <c r="AE51" s="535"/>
      <c r="AF51" s="535"/>
    </row>
    <row r="52" spans="1:38">
      <c r="A52" s="484">
        <v>191025</v>
      </c>
      <c r="B52" s="485" t="s">
        <v>256</v>
      </c>
      <c r="C52" s="486" t="s">
        <v>251</v>
      </c>
      <c r="D52" s="486" t="s">
        <v>252</v>
      </c>
      <c r="E52" s="484">
        <v>201309</v>
      </c>
      <c r="F52" s="484">
        <f>E52+1</f>
        <v>201310</v>
      </c>
      <c r="G52" s="484">
        <f>F52+1</f>
        <v>201311</v>
      </c>
      <c r="H52" s="484">
        <f>G52+1</f>
        <v>201312</v>
      </c>
      <c r="I52" s="484">
        <v>201401</v>
      </c>
      <c r="J52" s="484">
        <v>201402</v>
      </c>
      <c r="K52" s="484">
        <v>201403</v>
      </c>
      <c r="L52" s="484">
        <v>201404</v>
      </c>
      <c r="M52" s="484">
        <v>201405</v>
      </c>
      <c r="N52" s="484">
        <v>201406</v>
      </c>
      <c r="O52" s="484">
        <v>201407</v>
      </c>
      <c r="P52" s="484">
        <v>201408</v>
      </c>
      <c r="Q52" s="484">
        <v>201409</v>
      </c>
      <c r="R52" s="484">
        <v>201410</v>
      </c>
      <c r="S52" s="484">
        <v>201411</v>
      </c>
      <c r="T52" s="484">
        <v>201412</v>
      </c>
      <c r="U52" s="484">
        <v>201501</v>
      </c>
      <c r="V52" s="484">
        <f t="shared" ref="V52:AD52" si="33">U52+1</f>
        <v>201502</v>
      </c>
      <c r="W52" s="484">
        <f t="shared" si="33"/>
        <v>201503</v>
      </c>
      <c r="X52" s="484">
        <f t="shared" si="33"/>
        <v>201504</v>
      </c>
      <c r="Y52" s="484">
        <f t="shared" si="33"/>
        <v>201505</v>
      </c>
      <c r="Z52" s="484">
        <f t="shared" si="33"/>
        <v>201506</v>
      </c>
      <c r="AA52" s="484">
        <f t="shared" si="33"/>
        <v>201507</v>
      </c>
      <c r="AB52" s="484">
        <f t="shared" si="33"/>
        <v>201508</v>
      </c>
      <c r="AC52" s="484">
        <f t="shared" si="33"/>
        <v>201509</v>
      </c>
      <c r="AD52" s="484">
        <f t="shared" si="33"/>
        <v>201510</v>
      </c>
      <c r="AE52" s="484">
        <f>AD52+1</f>
        <v>201511</v>
      </c>
      <c r="AF52" s="484">
        <f t="shared" ref="AF52" si="34">AE52+1</f>
        <v>201512</v>
      </c>
      <c r="AL52" s="563"/>
    </row>
    <row r="53" spans="1:38">
      <c r="A53" s="483"/>
      <c r="B53" s="481" t="s">
        <v>37</v>
      </c>
      <c r="C53" s="491">
        <f>SUM(U53:AF53)</f>
        <v>83964548</v>
      </c>
      <c r="D53" s="491">
        <f t="shared" ref="D53:D62" si="35">SUM(G53:R53)</f>
        <v>118507804</v>
      </c>
      <c r="E53" s="491">
        <v>2647538</v>
      </c>
      <c r="F53" s="491">
        <v>9244353</v>
      </c>
      <c r="G53" s="491">
        <v>15070678</v>
      </c>
      <c r="H53" s="491">
        <v>22636008</v>
      </c>
      <c r="I53" s="543">
        <v>20682450</v>
      </c>
      <c r="J53" s="543">
        <v>20184373</v>
      </c>
      <c r="K53" s="543">
        <v>14096743</v>
      </c>
      <c r="L53" s="543">
        <v>7776328</v>
      </c>
      <c r="M53" s="543">
        <v>3691303</v>
      </c>
      <c r="N53" s="543">
        <v>2545780</v>
      </c>
      <c r="O53" s="543">
        <v>2095088</v>
      </c>
      <c r="P53" s="543">
        <v>2047777</v>
      </c>
      <c r="Q53" s="543">
        <v>2727612</v>
      </c>
      <c r="R53" s="543">
        <v>4953664</v>
      </c>
      <c r="S53" s="543">
        <v>15823016</v>
      </c>
      <c r="T53" s="543">
        <v>19056609</v>
      </c>
      <c r="U53" s="543">
        <v>19909674</v>
      </c>
      <c r="V53" s="543">
        <f>Feb!$G23</f>
        <v>13011547</v>
      </c>
      <c r="W53" s="543">
        <f>Mar!$G23</f>
        <v>10479005</v>
      </c>
      <c r="X53" s="543">
        <f>Apr!$G23</f>
        <v>7714478</v>
      </c>
      <c r="Y53" s="543">
        <f>May!$G23</f>
        <v>3297360</v>
      </c>
      <c r="Z53" s="543">
        <f>Jun!$G23</f>
        <v>1968489</v>
      </c>
      <c r="AA53" s="543">
        <f>Jul!$G23</f>
        <v>2145139</v>
      </c>
      <c r="AB53" s="543">
        <f>Aug!$G23</f>
        <v>1956853</v>
      </c>
      <c r="AC53" s="543">
        <f>Sep!$G23</f>
        <v>3273457</v>
      </c>
      <c r="AD53" s="543">
        <f>Oct!$G23</f>
        <v>4833518</v>
      </c>
      <c r="AE53" s="543">
        <f>Nov!$G23</f>
        <v>15375028</v>
      </c>
      <c r="AF53" s="543">
        <f>Dec!$G23</f>
        <v>0</v>
      </c>
    </row>
    <row r="54" spans="1:38">
      <c r="A54" s="483"/>
      <c r="B54" s="481" t="s">
        <v>38</v>
      </c>
      <c r="C54" s="491">
        <f t="shared" ref="C54:C61" si="36">SUM(U54:AF54)</f>
        <v>35336899</v>
      </c>
      <c r="D54" s="491">
        <f t="shared" si="35"/>
        <v>47081391</v>
      </c>
      <c r="E54" s="491">
        <v>1599551</v>
      </c>
      <c r="F54" s="491">
        <v>3880001</v>
      </c>
      <c r="G54" s="491">
        <v>5651303</v>
      </c>
      <c r="H54" s="491">
        <v>7518125</v>
      </c>
      <c r="I54" s="543">
        <v>7025543</v>
      </c>
      <c r="J54" s="543">
        <v>6903553</v>
      </c>
      <c r="K54" s="543">
        <v>5310734</v>
      </c>
      <c r="L54" s="543">
        <v>3390429</v>
      </c>
      <c r="M54" s="543">
        <v>2183609</v>
      </c>
      <c r="N54" s="543">
        <v>1741655</v>
      </c>
      <c r="O54" s="543">
        <v>1476567</v>
      </c>
      <c r="P54" s="543">
        <v>1364087</v>
      </c>
      <c r="Q54" s="543">
        <v>1739755</v>
      </c>
      <c r="R54" s="543">
        <v>2776031</v>
      </c>
      <c r="S54" s="543">
        <v>6141604</v>
      </c>
      <c r="T54" s="543">
        <v>6045485</v>
      </c>
      <c r="U54" s="543">
        <v>6173752</v>
      </c>
      <c r="V54" s="543">
        <f>Feb!$G24</f>
        <v>5630395</v>
      </c>
      <c r="W54" s="543">
        <f>Mar!$G24</f>
        <v>4030672</v>
      </c>
      <c r="X54" s="543">
        <f>Apr!$G24</f>
        <v>3448422</v>
      </c>
      <c r="Y54" s="543">
        <f>May!$G24</f>
        <v>1901440</v>
      </c>
      <c r="Z54" s="543">
        <f>Jun!$G24</f>
        <v>1561904</v>
      </c>
      <c r="AA54" s="543">
        <f>Jul!$G24</f>
        <v>1323231</v>
      </c>
      <c r="AB54" s="543">
        <f>Aug!$G24</f>
        <v>1284422</v>
      </c>
      <c r="AC54" s="543">
        <f>Sep!$G24</f>
        <v>1854848</v>
      </c>
      <c r="AD54" s="543">
        <f>Oct!$G25</f>
        <v>2624293</v>
      </c>
      <c r="AE54" s="543">
        <f>Nov!$G25</f>
        <v>5503520</v>
      </c>
      <c r="AF54" s="543">
        <f>Dec!$G24</f>
        <v>0</v>
      </c>
    </row>
    <row r="55" spans="1:38">
      <c r="A55" s="483"/>
      <c r="B55" s="481" t="s">
        <v>39</v>
      </c>
      <c r="C55" s="491">
        <f t="shared" si="36"/>
        <v>0</v>
      </c>
      <c r="D55" s="491">
        <f t="shared" si="35"/>
        <v>0</v>
      </c>
      <c r="E55" s="491">
        <v>0</v>
      </c>
      <c r="F55" s="491">
        <v>0</v>
      </c>
      <c r="G55" s="491">
        <v>0</v>
      </c>
      <c r="H55" s="491">
        <v>0</v>
      </c>
      <c r="I55" s="543">
        <v>0</v>
      </c>
      <c r="J55" s="543">
        <v>0</v>
      </c>
      <c r="K55" s="543">
        <v>0</v>
      </c>
      <c r="L55" s="543">
        <v>0</v>
      </c>
      <c r="M55" s="543">
        <v>0</v>
      </c>
      <c r="N55" s="543">
        <v>0</v>
      </c>
      <c r="O55" s="543">
        <v>0</v>
      </c>
      <c r="P55" s="543">
        <v>0</v>
      </c>
      <c r="Q55" s="543">
        <v>0</v>
      </c>
      <c r="R55" s="543">
        <v>0</v>
      </c>
      <c r="S55" s="543">
        <v>0</v>
      </c>
      <c r="T55" s="543">
        <v>0</v>
      </c>
      <c r="U55" s="543">
        <v>0</v>
      </c>
      <c r="V55" s="543">
        <f>Feb!$G25</f>
        <v>0</v>
      </c>
      <c r="W55" s="543">
        <f>Mar!$G25</f>
        <v>0</v>
      </c>
      <c r="X55" s="543">
        <f>Apr!$G25</f>
        <v>0</v>
      </c>
      <c r="Y55" s="543">
        <f>May!$G25</f>
        <v>0</v>
      </c>
      <c r="Z55" s="543">
        <f>Jun!$G25</f>
        <v>0</v>
      </c>
      <c r="AA55" s="543">
        <f>Jul!$G25</f>
        <v>0</v>
      </c>
      <c r="AB55" s="543">
        <f>Aug!$G25</f>
        <v>0</v>
      </c>
      <c r="AC55" s="543">
        <f>Sep!$G25</f>
        <v>0</v>
      </c>
      <c r="AD55" s="543">
        <f>Oct!$G26</f>
        <v>0</v>
      </c>
      <c r="AE55" s="543">
        <f>Nov!$G26</f>
        <v>0</v>
      </c>
      <c r="AF55" s="543">
        <f>Dec!$G25</f>
        <v>0</v>
      </c>
    </row>
    <row r="56" spans="1:38">
      <c r="A56" s="483"/>
      <c r="B56" s="481" t="s">
        <v>40</v>
      </c>
      <c r="C56" s="491">
        <f t="shared" si="36"/>
        <v>4051936</v>
      </c>
      <c r="D56" s="491">
        <f t="shared" si="35"/>
        <v>4993299</v>
      </c>
      <c r="E56" s="491">
        <v>344046</v>
      </c>
      <c r="F56" s="491">
        <v>595792</v>
      </c>
      <c r="G56" s="491">
        <v>396185</v>
      </c>
      <c r="H56" s="491">
        <v>588721</v>
      </c>
      <c r="I56" s="543">
        <v>534459</v>
      </c>
      <c r="J56" s="543">
        <v>540817</v>
      </c>
      <c r="K56" s="543">
        <v>425342</v>
      </c>
      <c r="L56" s="543">
        <v>407197</v>
      </c>
      <c r="M56" s="543">
        <v>340947</v>
      </c>
      <c r="N56" s="543">
        <v>361843</v>
      </c>
      <c r="O56" s="543">
        <v>251184</v>
      </c>
      <c r="P56" s="543">
        <v>332621</v>
      </c>
      <c r="Q56" s="543">
        <v>330926</v>
      </c>
      <c r="R56" s="543">
        <v>483057</v>
      </c>
      <c r="S56" s="543">
        <v>518418</v>
      </c>
      <c r="T56" s="543">
        <v>377457</v>
      </c>
      <c r="U56" s="543">
        <v>513680</v>
      </c>
      <c r="V56" s="543">
        <f>Feb!$G26</f>
        <v>431734</v>
      </c>
      <c r="W56" s="543">
        <f>Mar!$G26</f>
        <v>335852</v>
      </c>
      <c r="X56" s="543">
        <f>Apr!$G26</f>
        <v>432834</v>
      </c>
      <c r="Y56" s="543">
        <f>May!$G26</f>
        <v>249954</v>
      </c>
      <c r="Z56" s="543">
        <f>Jun!$G26</f>
        <v>322862</v>
      </c>
      <c r="AA56" s="543">
        <f>Jul!$G26</f>
        <v>247078</v>
      </c>
      <c r="AB56" s="543">
        <f>Aug!$G26</f>
        <v>274690</v>
      </c>
      <c r="AC56" s="543">
        <f>Sep!$G26</f>
        <v>336073</v>
      </c>
      <c r="AD56" s="543">
        <f>Oct!$G27</f>
        <v>365802</v>
      </c>
      <c r="AE56" s="543">
        <f>Nov!$G27</f>
        <v>541377</v>
      </c>
      <c r="AF56" s="543">
        <f>Dec!$G26</f>
        <v>0</v>
      </c>
    </row>
    <row r="57" spans="1:38">
      <c r="A57" s="483"/>
      <c r="B57" s="481" t="s">
        <v>41</v>
      </c>
      <c r="C57" s="491">
        <f t="shared" si="36"/>
        <v>504443</v>
      </c>
      <c r="D57" s="491">
        <f t="shared" si="35"/>
        <v>658607</v>
      </c>
      <c r="E57" s="491">
        <v>31388</v>
      </c>
      <c r="F57" s="491">
        <v>40500</v>
      </c>
      <c r="G57" s="491">
        <v>51667</v>
      </c>
      <c r="H57" s="491">
        <v>84319</v>
      </c>
      <c r="I57" s="543">
        <v>95515</v>
      </c>
      <c r="J57" s="543">
        <v>89875</v>
      </c>
      <c r="K57" s="543">
        <v>79687</v>
      </c>
      <c r="L57" s="543">
        <v>48237</v>
      </c>
      <c r="M57" s="543">
        <v>57496</v>
      </c>
      <c r="N57" s="543">
        <v>29984</v>
      </c>
      <c r="O57" s="543">
        <v>36453</v>
      </c>
      <c r="P57" s="543">
        <v>23994</v>
      </c>
      <c r="Q57" s="543">
        <v>27780</v>
      </c>
      <c r="R57" s="543">
        <v>33600</v>
      </c>
      <c r="S57" s="543">
        <v>46503</v>
      </c>
      <c r="T57" s="543">
        <v>74423</v>
      </c>
      <c r="U57" s="543">
        <v>81674</v>
      </c>
      <c r="V57" s="543">
        <f>Feb!$G27</f>
        <v>68846</v>
      </c>
      <c r="W57" s="543">
        <f>Mar!$G27</f>
        <v>57610</v>
      </c>
      <c r="X57" s="543">
        <f>Apr!$G27</f>
        <v>49631</v>
      </c>
      <c r="Y57" s="543">
        <f>May!$G27</f>
        <v>46984</v>
      </c>
      <c r="Z57" s="543">
        <f>Jun!$G27</f>
        <v>30135</v>
      </c>
      <c r="AA57" s="543">
        <f>Jul!$G27</f>
        <v>28317</v>
      </c>
      <c r="AB57" s="543">
        <f>Aug!$G27</f>
        <v>27313</v>
      </c>
      <c r="AC57" s="543">
        <f>Sep!$G27</f>
        <v>29790</v>
      </c>
      <c r="AD57" s="543">
        <f>Oct!$G28</f>
        <v>36487</v>
      </c>
      <c r="AE57" s="543">
        <f>Nov!$G28</f>
        <v>47656</v>
      </c>
      <c r="AF57" s="543">
        <f>Dec!$G27</f>
        <v>0</v>
      </c>
    </row>
    <row r="58" spans="1:38">
      <c r="A58" s="483"/>
      <c r="B58" s="481" t="s">
        <v>42</v>
      </c>
      <c r="C58" s="491">
        <f t="shared" si="36"/>
        <v>0</v>
      </c>
      <c r="D58" s="491">
        <f t="shared" si="35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f>Feb!$G28</f>
        <v>0</v>
      </c>
      <c r="W58" s="543">
        <f>Mar!$G28</f>
        <v>0</v>
      </c>
      <c r="X58" s="543">
        <f>Apr!$G28</f>
        <v>0</v>
      </c>
      <c r="Y58" s="543">
        <f>May!$G28</f>
        <v>0</v>
      </c>
      <c r="Z58" s="543">
        <f>Jun!$G28</f>
        <v>0</v>
      </c>
      <c r="AA58" s="543">
        <f>Jul!$G28</f>
        <v>0</v>
      </c>
      <c r="AB58" s="543">
        <f>Aug!$G28</f>
        <v>0</v>
      </c>
      <c r="AC58" s="543">
        <f>Sep!$G28</f>
        <v>0</v>
      </c>
      <c r="AD58" s="543">
        <f>Oct!$G29</f>
        <v>0</v>
      </c>
      <c r="AE58" s="543">
        <f>Nov!$G29</f>
        <v>0</v>
      </c>
      <c r="AF58" s="543">
        <f>Dec!$G28</f>
        <v>0</v>
      </c>
    </row>
    <row r="59" spans="1:38">
      <c r="A59" s="483"/>
      <c r="B59" s="481" t="s">
        <v>43</v>
      </c>
      <c r="C59" s="491">
        <f t="shared" si="36"/>
        <v>871865</v>
      </c>
      <c r="D59" s="491">
        <f t="shared" si="35"/>
        <v>1097701</v>
      </c>
      <c r="E59" s="491">
        <v>54453</v>
      </c>
      <c r="F59" s="491">
        <v>68629</v>
      </c>
      <c r="G59" s="491">
        <v>142001</v>
      </c>
      <c r="H59" s="491">
        <v>132732</v>
      </c>
      <c r="I59" s="543">
        <v>149468</v>
      </c>
      <c r="J59" s="543">
        <v>140495</v>
      </c>
      <c r="K59" s="543">
        <v>132979</v>
      </c>
      <c r="L59" s="543">
        <v>91026</v>
      </c>
      <c r="M59" s="543">
        <v>83802</v>
      </c>
      <c r="N59" s="543">
        <v>58384</v>
      </c>
      <c r="O59" s="543">
        <v>45870</v>
      </c>
      <c r="P59" s="543">
        <v>32437</v>
      </c>
      <c r="Q59" s="543">
        <v>37881</v>
      </c>
      <c r="R59" s="543">
        <v>50626</v>
      </c>
      <c r="S59" s="543">
        <v>67642</v>
      </c>
      <c r="T59" s="543">
        <v>112489</v>
      </c>
      <c r="U59" s="543">
        <v>129251</v>
      </c>
      <c r="V59" s="543">
        <f>Feb!$G29</f>
        <v>123377</v>
      </c>
      <c r="W59" s="543">
        <f>Mar!$G29</f>
        <v>100117</v>
      </c>
      <c r="X59" s="543">
        <f>Apr!$G29</f>
        <v>81076</v>
      </c>
      <c r="Y59" s="543">
        <f>May!$G29</f>
        <v>83536</v>
      </c>
      <c r="Z59" s="543">
        <f>Jun!$G29</f>
        <v>56511</v>
      </c>
      <c r="AA59" s="543">
        <f>Jul!$G29</f>
        <v>13364</v>
      </c>
      <c r="AB59" s="543">
        <f>Aug!$G29</f>
        <v>68158</v>
      </c>
      <c r="AC59" s="543">
        <f>Sep!$G29</f>
        <v>45470</v>
      </c>
      <c r="AD59" s="543">
        <f>Oct!$G30</f>
        <v>96224</v>
      </c>
      <c r="AE59" s="543">
        <f>Nov!$G30</f>
        <v>74781</v>
      </c>
      <c r="AF59" s="543">
        <f>Dec!$G29</f>
        <v>0</v>
      </c>
    </row>
    <row r="60" spans="1:38">
      <c r="A60" s="483"/>
      <c r="B60" s="481" t="s">
        <v>74</v>
      </c>
      <c r="C60" s="491">
        <f t="shared" si="36"/>
        <v>26235211</v>
      </c>
      <c r="D60" s="491">
        <f t="shared" si="35"/>
        <v>30501971</v>
      </c>
      <c r="E60" s="491">
        <v>1818699</v>
      </c>
      <c r="F60" s="491">
        <v>2531895</v>
      </c>
      <c r="G60" s="491">
        <v>2936207</v>
      </c>
      <c r="H60" s="491">
        <v>3675604</v>
      </c>
      <c r="I60" s="543">
        <v>3517013</v>
      </c>
      <c r="J60" s="543">
        <v>3103551</v>
      </c>
      <c r="K60" s="543">
        <v>2882510</v>
      </c>
      <c r="L60" s="543">
        <v>2426511</v>
      </c>
      <c r="M60" s="543">
        <v>2096539</v>
      </c>
      <c r="N60" s="543">
        <v>1865473</v>
      </c>
      <c r="O60" s="543">
        <v>1934510</v>
      </c>
      <c r="P60" s="543">
        <v>1781233</v>
      </c>
      <c r="Q60" s="543">
        <v>1975142</v>
      </c>
      <c r="R60" s="543">
        <v>2307678</v>
      </c>
      <c r="S60" s="543">
        <v>3052956</v>
      </c>
      <c r="T60" s="543">
        <v>3180451</v>
      </c>
      <c r="U60" s="543">
        <v>3286166</v>
      </c>
      <c r="V60" s="543">
        <f>Feb!$G30</f>
        <v>2735718</v>
      </c>
      <c r="W60" s="543">
        <f>Mar!$G30</f>
        <v>2608561</v>
      </c>
      <c r="X60" s="543">
        <f>Apr!$G30</f>
        <v>2436951</v>
      </c>
      <c r="Y60" s="543">
        <f>May!$G30</f>
        <v>2203136</v>
      </c>
      <c r="Z60" s="543">
        <f>Jun!$G30</f>
        <v>1941783</v>
      </c>
      <c r="AA60" s="543">
        <f>Jul!$G30</f>
        <v>1912819</v>
      </c>
      <c r="AB60" s="543">
        <f>Aug!$G30</f>
        <v>1943542</v>
      </c>
      <c r="AC60" s="543">
        <f>Sep!$G30</f>
        <v>1945064</v>
      </c>
      <c r="AD60" s="543">
        <f>Oct!$G31</f>
        <v>2201297</v>
      </c>
      <c r="AE60" s="543">
        <f>Nov!$G31</f>
        <v>3020174</v>
      </c>
      <c r="AF60" s="543">
        <f>Dec!$G30</f>
        <v>0</v>
      </c>
    </row>
    <row r="61" spans="1:38" ht="16" thickBot="1">
      <c r="A61" s="483"/>
      <c r="B61" s="481" t="s">
        <v>21</v>
      </c>
      <c r="C61" s="542">
        <f t="shared" si="36"/>
        <v>150964902</v>
      </c>
      <c r="D61" s="542">
        <f t="shared" si="35"/>
        <v>202840773</v>
      </c>
      <c r="E61" s="542">
        <f>SUM(E53:E60)</f>
        <v>6495675</v>
      </c>
      <c r="F61" s="542">
        <f>SUM(F53:F60)</f>
        <v>16361170</v>
      </c>
      <c r="G61" s="542">
        <f t="shared" ref="G61:H61" si="37">SUM(G53:G60)</f>
        <v>24248041</v>
      </c>
      <c r="H61" s="542">
        <f t="shared" si="37"/>
        <v>34635509</v>
      </c>
      <c r="I61" s="542">
        <v>32004448</v>
      </c>
      <c r="J61" s="542">
        <v>30962664</v>
      </c>
      <c r="K61" s="542">
        <v>22927995</v>
      </c>
      <c r="L61" s="542">
        <v>14139728</v>
      </c>
      <c r="M61" s="542">
        <v>8453696</v>
      </c>
      <c r="N61" s="542">
        <v>6603119</v>
      </c>
      <c r="O61" s="542">
        <v>5839672</v>
      </c>
      <c r="P61" s="542">
        <v>5582149</v>
      </c>
      <c r="Q61" s="542">
        <v>6839096</v>
      </c>
      <c r="R61" s="542">
        <v>10604656</v>
      </c>
      <c r="S61" s="542">
        <v>25650139</v>
      </c>
      <c r="T61" s="542">
        <v>28846914</v>
      </c>
      <c r="U61" s="542">
        <v>30094197</v>
      </c>
      <c r="V61" s="542">
        <f t="shared" ref="V61:AF61" si="38">SUM(V53:V60)</f>
        <v>22001617</v>
      </c>
      <c r="W61" s="542">
        <f t="shared" si="38"/>
        <v>17611817</v>
      </c>
      <c r="X61" s="542">
        <f t="shared" si="38"/>
        <v>14163392</v>
      </c>
      <c r="Y61" s="542">
        <f t="shared" si="38"/>
        <v>7782410</v>
      </c>
      <c r="Z61" s="542">
        <f t="shared" si="38"/>
        <v>5881684</v>
      </c>
      <c r="AA61" s="542">
        <f t="shared" si="38"/>
        <v>5669948</v>
      </c>
      <c r="AB61" s="542">
        <f t="shared" si="38"/>
        <v>5554978</v>
      </c>
      <c r="AC61" s="542">
        <f t="shared" si="38"/>
        <v>7484702</v>
      </c>
      <c r="AD61" s="542">
        <f t="shared" si="38"/>
        <v>10157621</v>
      </c>
      <c r="AE61" s="542">
        <f t="shared" si="38"/>
        <v>24562536</v>
      </c>
      <c r="AF61" s="542">
        <f t="shared" si="38"/>
        <v>0</v>
      </c>
    </row>
    <row r="62" spans="1:38" ht="16" thickTop="1">
      <c r="A62" s="483"/>
      <c r="B62" s="481" t="s">
        <v>269</v>
      </c>
      <c r="C62" s="491">
        <f>SUM(U62:AF62)</f>
        <v>83871023</v>
      </c>
      <c r="D62" s="491">
        <f t="shared" si="35"/>
        <v>202840773</v>
      </c>
      <c r="E62" s="491">
        <v>6495675</v>
      </c>
      <c r="F62" s="491">
        <v>16361170</v>
      </c>
      <c r="G62" s="491">
        <v>24248041</v>
      </c>
      <c r="H62" s="491">
        <v>34635509</v>
      </c>
      <c r="I62" s="491">
        <v>32004448</v>
      </c>
      <c r="J62" s="491">
        <v>30962664</v>
      </c>
      <c r="K62" s="491">
        <v>22927995</v>
      </c>
      <c r="L62" s="491">
        <v>14139728</v>
      </c>
      <c r="M62" s="491">
        <v>8453696</v>
      </c>
      <c r="N62" s="491">
        <v>6603119</v>
      </c>
      <c r="O62" s="491">
        <v>5839672</v>
      </c>
      <c r="P62" s="491">
        <v>5582149</v>
      </c>
      <c r="Q62" s="491">
        <v>6839096</v>
      </c>
      <c r="R62" s="491">
        <v>10604656</v>
      </c>
      <c r="S62" s="491">
        <v>25650139</v>
      </c>
      <c r="T62" s="491">
        <v>28846914</v>
      </c>
      <c r="U62" s="491">
        <v>30094197</v>
      </c>
      <c r="V62" s="491">
        <v>22001617</v>
      </c>
      <c r="W62" s="491">
        <f>Mar!G32</f>
        <v>17611817</v>
      </c>
      <c r="X62" s="491">
        <v>14163392</v>
      </c>
      <c r="Y62" s="491"/>
      <c r="Z62" s="491"/>
      <c r="AA62" s="491"/>
      <c r="AB62" s="491"/>
      <c r="AC62" s="491"/>
      <c r="AD62" s="491"/>
      <c r="AE62" s="491"/>
      <c r="AF62" s="491"/>
      <c r="AG62" s="491"/>
    </row>
    <row r="63" spans="1:38">
      <c r="A63" s="483" t="s">
        <v>22</v>
      </c>
      <c r="E63" s="535"/>
      <c r="F63" s="535"/>
      <c r="G63" s="535"/>
      <c r="H63" s="535"/>
      <c r="I63" s="535"/>
      <c r="J63" s="535"/>
      <c r="K63" s="535"/>
      <c r="L63" s="535"/>
      <c r="M63" s="535"/>
      <c r="N63" s="535"/>
      <c r="O63" s="535"/>
      <c r="P63" s="535"/>
      <c r="Q63" s="535"/>
      <c r="R63" s="535"/>
      <c r="S63" s="535"/>
      <c r="T63" s="535"/>
      <c r="U63" s="535"/>
      <c r="V63" s="535"/>
      <c r="W63" s="535"/>
      <c r="X63" s="535"/>
      <c r="Y63" s="535"/>
      <c r="Z63" s="535"/>
      <c r="AA63" s="535"/>
      <c r="AB63" s="535"/>
      <c r="AC63" s="535"/>
      <c r="AD63" s="535"/>
      <c r="AE63" s="535"/>
      <c r="AF63" s="535"/>
      <c r="AI63" s="539"/>
    </row>
    <row r="64" spans="1:38">
      <c r="A64" s="484">
        <v>191025</v>
      </c>
      <c r="B64" s="485" t="s">
        <v>256</v>
      </c>
      <c r="E64" s="484">
        <v>201309</v>
      </c>
      <c r="F64" s="484">
        <f>E64+1</f>
        <v>201310</v>
      </c>
      <c r="G64" s="484">
        <f>F64+1</f>
        <v>201311</v>
      </c>
      <c r="H64" s="484">
        <f>G64+1</f>
        <v>201312</v>
      </c>
      <c r="I64" s="484">
        <v>201401</v>
      </c>
      <c r="J64" s="484">
        <v>201402</v>
      </c>
      <c r="K64" s="484">
        <v>201403</v>
      </c>
      <c r="L64" s="484">
        <v>201404</v>
      </c>
      <c r="M64" s="484">
        <v>201405</v>
      </c>
      <c r="N64" s="484">
        <v>201406</v>
      </c>
      <c r="O64" s="484">
        <v>201407</v>
      </c>
      <c r="P64" s="484">
        <v>201408</v>
      </c>
      <c r="Q64" s="484">
        <v>201409</v>
      </c>
      <c r="R64" s="484">
        <v>201410</v>
      </c>
      <c r="S64" s="484">
        <v>201411</v>
      </c>
      <c r="T64" s="484">
        <v>201412</v>
      </c>
      <c r="U64" s="484">
        <v>201501</v>
      </c>
      <c r="V64" s="484">
        <f t="shared" ref="V64:AD64" si="39">U64+1</f>
        <v>201502</v>
      </c>
      <c r="W64" s="484">
        <f t="shared" si="39"/>
        <v>201503</v>
      </c>
      <c r="X64" s="484">
        <f t="shared" si="39"/>
        <v>201504</v>
      </c>
      <c r="Y64" s="484">
        <f t="shared" si="39"/>
        <v>201505</v>
      </c>
      <c r="Z64" s="484">
        <f t="shared" si="39"/>
        <v>201506</v>
      </c>
      <c r="AA64" s="484">
        <f t="shared" si="39"/>
        <v>201507</v>
      </c>
      <c r="AB64" s="484">
        <f t="shared" si="39"/>
        <v>201508</v>
      </c>
      <c r="AC64" s="484">
        <f t="shared" si="39"/>
        <v>201509</v>
      </c>
      <c r="AD64" s="484">
        <f t="shared" si="39"/>
        <v>201510</v>
      </c>
      <c r="AE64" s="484">
        <f>AD64+1</f>
        <v>201511</v>
      </c>
      <c r="AF64" s="484">
        <f t="shared" ref="AF64" si="40">AE64+1</f>
        <v>201512</v>
      </c>
    </row>
    <row r="65" spans="1:39">
      <c r="A65" s="483"/>
      <c r="B65" s="481" t="s">
        <v>37</v>
      </c>
      <c r="E65" s="492">
        <v>-2.1900000000000001E-3</v>
      </c>
      <c r="F65" s="492">
        <v>-2.1900000000000001E-3</v>
      </c>
      <c r="G65" s="496" t="s">
        <v>270</v>
      </c>
      <c r="H65" s="496" t="s">
        <v>270</v>
      </c>
      <c r="I65" s="492">
        <v>-3.8999999999999999E-4</v>
      </c>
      <c r="J65" s="492">
        <v>-3.8999999999999999E-4</v>
      </c>
      <c r="K65" s="492">
        <v>-3.8999999999999999E-4</v>
      </c>
      <c r="L65" s="492">
        <v>-3.8999999999999999E-4</v>
      </c>
      <c r="M65" s="492">
        <v>-3.8999999999999999E-4</v>
      </c>
      <c r="N65" s="492">
        <v>-3.8999999999999999E-4</v>
      </c>
      <c r="O65" s="492">
        <v>-3.8999999999999999E-4</v>
      </c>
      <c r="P65" s="492">
        <v>-3.8999999999999999E-4</v>
      </c>
      <c r="Q65" s="492">
        <v>-3.8999999999999999E-4</v>
      </c>
      <c r="R65" s="492">
        <v>-3.8999999999999999E-4</v>
      </c>
      <c r="S65" s="496" t="s">
        <v>270</v>
      </c>
      <c r="T65" s="496" t="s">
        <v>270</v>
      </c>
      <c r="U65" s="492">
        <v>2.5000000000000001E-4</v>
      </c>
      <c r="V65" s="492">
        <v>2.5000000000000001E-4</v>
      </c>
      <c r="W65" s="492">
        <v>2.5000000000000001E-4</v>
      </c>
      <c r="X65" s="492">
        <v>2.5000000000000001E-4</v>
      </c>
      <c r="Y65" s="492">
        <v>2.5000000000000001E-4</v>
      </c>
      <c r="Z65" s="492">
        <v>2.5000000000000001E-4</v>
      </c>
      <c r="AA65" s="492">
        <v>2.5000000000000001E-4</v>
      </c>
      <c r="AB65" s="492">
        <v>2.5000000000000001E-4</v>
      </c>
      <c r="AC65" s="492">
        <v>2.5000000000000001E-4</v>
      </c>
      <c r="AD65" s="492">
        <v>2.5000000000000001E-4</v>
      </c>
      <c r="AE65" s="496" t="s">
        <v>270</v>
      </c>
      <c r="AF65" s="496" t="s">
        <v>270</v>
      </c>
    </row>
    <row r="66" spans="1:39">
      <c r="A66" s="483"/>
      <c r="B66" s="481" t="s">
        <v>38</v>
      </c>
      <c r="E66" s="492">
        <v>-2.1900000000000001E-3</v>
      </c>
      <c r="F66" s="492">
        <v>-2.1900000000000001E-3</v>
      </c>
      <c r="G66" s="496" t="s">
        <v>270</v>
      </c>
      <c r="H66" s="496" t="s">
        <v>270</v>
      </c>
      <c r="I66" s="492">
        <v>-3.8999999999999999E-4</v>
      </c>
      <c r="J66" s="492">
        <v>-3.8999999999999999E-4</v>
      </c>
      <c r="K66" s="492">
        <v>-3.8999999999999999E-4</v>
      </c>
      <c r="L66" s="492">
        <v>-3.8999999999999999E-4</v>
      </c>
      <c r="M66" s="492">
        <v>-3.8999999999999999E-4</v>
      </c>
      <c r="N66" s="492">
        <v>-3.8999999999999999E-4</v>
      </c>
      <c r="O66" s="492">
        <v>-3.8999999999999999E-4</v>
      </c>
      <c r="P66" s="492">
        <v>-3.8999999999999999E-4</v>
      </c>
      <c r="Q66" s="492">
        <v>-3.8999999999999999E-4</v>
      </c>
      <c r="R66" s="492">
        <v>-3.8999999999999999E-4</v>
      </c>
      <c r="S66" s="496" t="s">
        <v>270</v>
      </c>
      <c r="T66" s="496" t="s">
        <v>270</v>
      </c>
      <c r="U66" s="492">
        <v>2.5000000000000001E-4</v>
      </c>
      <c r="V66" s="492">
        <v>2.5000000000000001E-4</v>
      </c>
      <c r="W66" s="492">
        <v>2.5000000000000001E-4</v>
      </c>
      <c r="X66" s="492">
        <v>2.5000000000000001E-4</v>
      </c>
      <c r="Y66" s="492">
        <v>2.5000000000000001E-4</v>
      </c>
      <c r="Z66" s="492">
        <v>2.5000000000000001E-4</v>
      </c>
      <c r="AA66" s="492">
        <v>2.5000000000000001E-4</v>
      </c>
      <c r="AB66" s="492">
        <v>2.5000000000000001E-4</v>
      </c>
      <c r="AC66" s="492">
        <v>2.5000000000000001E-4</v>
      </c>
      <c r="AD66" s="492">
        <v>2.5000000000000001E-4</v>
      </c>
      <c r="AE66" s="496" t="s">
        <v>270</v>
      </c>
      <c r="AF66" s="496" t="s">
        <v>270</v>
      </c>
    </row>
    <row r="67" spans="1:39">
      <c r="A67" s="483"/>
      <c r="B67" s="481" t="s">
        <v>39</v>
      </c>
      <c r="E67" s="492">
        <v>-2.1900000000000001E-3</v>
      </c>
      <c r="F67" s="492">
        <v>-2.1900000000000001E-3</v>
      </c>
      <c r="G67" s="496" t="s">
        <v>270</v>
      </c>
      <c r="H67" s="496" t="s">
        <v>270</v>
      </c>
      <c r="I67" s="492">
        <v>-3.8999999999999999E-4</v>
      </c>
      <c r="J67" s="492">
        <v>-3.8999999999999999E-4</v>
      </c>
      <c r="K67" s="492">
        <v>-3.8999999999999999E-4</v>
      </c>
      <c r="L67" s="492">
        <v>-3.8999999999999999E-4</v>
      </c>
      <c r="M67" s="492">
        <v>-3.8999999999999999E-4</v>
      </c>
      <c r="N67" s="492">
        <v>-3.8999999999999999E-4</v>
      </c>
      <c r="O67" s="492">
        <v>-3.8999999999999999E-4</v>
      </c>
      <c r="P67" s="492">
        <v>-3.8999999999999999E-4</v>
      </c>
      <c r="Q67" s="492">
        <v>-3.8999999999999999E-4</v>
      </c>
      <c r="R67" s="492">
        <v>-3.8999999999999999E-4</v>
      </c>
      <c r="S67" s="496" t="s">
        <v>270</v>
      </c>
      <c r="T67" s="496" t="s">
        <v>270</v>
      </c>
      <c r="U67" s="492">
        <v>2.5000000000000001E-4</v>
      </c>
      <c r="V67" s="492">
        <v>2.5000000000000001E-4</v>
      </c>
      <c r="W67" s="492">
        <v>2.5000000000000001E-4</v>
      </c>
      <c r="X67" s="492">
        <v>2.5000000000000001E-4</v>
      </c>
      <c r="Y67" s="492">
        <v>2.5000000000000001E-4</v>
      </c>
      <c r="Z67" s="492">
        <v>2.5000000000000001E-4</v>
      </c>
      <c r="AA67" s="492">
        <v>2.5000000000000001E-4</v>
      </c>
      <c r="AB67" s="492">
        <v>2.5000000000000001E-4</v>
      </c>
      <c r="AC67" s="492">
        <v>2.5000000000000001E-4</v>
      </c>
      <c r="AD67" s="492">
        <v>2.5000000000000001E-4</v>
      </c>
      <c r="AE67" s="496" t="s">
        <v>270</v>
      </c>
      <c r="AF67" s="496" t="s">
        <v>270</v>
      </c>
    </row>
    <row r="68" spans="1:39">
      <c r="A68" s="483"/>
      <c r="B68" s="481" t="s">
        <v>40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270</v>
      </c>
      <c r="AF68" s="496" t="s">
        <v>270</v>
      </c>
    </row>
    <row r="69" spans="1:39">
      <c r="A69" s="483"/>
      <c r="B69" s="481" t="s">
        <v>41</v>
      </c>
      <c r="E69" s="492">
        <v>-2.1900000000000001E-3</v>
      </c>
      <c r="F69" s="492">
        <v>-2.1900000000000001E-3</v>
      </c>
      <c r="G69" s="496" t="s">
        <v>270</v>
      </c>
      <c r="H69" s="496" t="s">
        <v>270</v>
      </c>
      <c r="I69" s="492">
        <v>-3.8999999999999999E-4</v>
      </c>
      <c r="J69" s="492">
        <v>-3.8999999999999999E-4</v>
      </c>
      <c r="K69" s="492">
        <v>-3.8999999999999999E-4</v>
      </c>
      <c r="L69" s="492">
        <v>-3.8999999999999999E-4</v>
      </c>
      <c r="M69" s="492">
        <v>-3.8999999999999999E-4</v>
      </c>
      <c r="N69" s="492">
        <v>-3.8999999999999999E-4</v>
      </c>
      <c r="O69" s="492">
        <v>-3.8999999999999999E-4</v>
      </c>
      <c r="P69" s="492">
        <v>-3.8999999999999999E-4</v>
      </c>
      <c r="Q69" s="492">
        <v>-3.8999999999999999E-4</v>
      </c>
      <c r="R69" s="492">
        <v>-3.8999999999999999E-4</v>
      </c>
      <c r="S69" s="496" t="s">
        <v>270</v>
      </c>
      <c r="T69" s="496" t="s">
        <v>270</v>
      </c>
      <c r="U69" s="492">
        <v>2.5000000000000001E-4</v>
      </c>
      <c r="V69" s="492">
        <v>2.5000000000000001E-4</v>
      </c>
      <c r="W69" s="492">
        <v>2.5000000000000001E-4</v>
      </c>
      <c r="X69" s="492">
        <v>2.5000000000000001E-4</v>
      </c>
      <c r="Y69" s="492">
        <v>2.5000000000000001E-4</v>
      </c>
      <c r="Z69" s="492">
        <v>2.5000000000000001E-4</v>
      </c>
      <c r="AA69" s="492">
        <v>2.5000000000000001E-4</v>
      </c>
      <c r="AB69" s="492">
        <v>2.5000000000000001E-4</v>
      </c>
      <c r="AC69" s="492">
        <v>2.5000000000000001E-4</v>
      </c>
      <c r="AD69" s="492">
        <v>2.5000000000000001E-4</v>
      </c>
      <c r="AE69" s="496" t="s">
        <v>270</v>
      </c>
      <c r="AF69" s="496" t="s">
        <v>270</v>
      </c>
    </row>
    <row r="70" spans="1:39" ht="16" thickBot="1">
      <c r="A70" s="483"/>
      <c r="B70" s="481" t="s">
        <v>42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270</v>
      </c>
      <c r="AF70" s="496" t="s">
        <v>270</v>
      </c>
    </row>
    <row r="71" spans="1:39" ht="16" thickBot="1">
      <c r="A71" s="483"/>
      <c r="B71" s="481" t="s">
        <v>43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270</v>
      </c>
      <c r="AF71" s="496" t="s">
        <v>270</v>
      </c>
      <c r="AH71" s="522">
        <f>AH4</f>
        <v>201504</v>
      </c>
      <c r="AI71" s="531"/>
      <c r="AJ71" s="523"/>
      <c r="AK71" s="523"/>
      <c r="AL71" s="523"/>
      <c r="AM71" s="524"/>
    </row>
    <row r="72" spans="1:39">
      <c r="A72" s="483"/>
      <c r="B72" s="481" t="s">
        <v>74</v>
      </c>
      <c r="E72" s="492">
        <v>-2.0000000000000001E-4</v>
      </c>
      <c r="F72" s="492">
        <v>-2.0000000000000001E-4</v>
      </c>
      <c r="G72" s="496" t="s">
        <v>270</v>
      </c>
      <c r="H72" s="496" t="s">
        <v>270</v>
      </c>
      <c r="I72" s="492">
        <v>-4.0000000000000003E-5</v>
      </c>
      <c r="J72" s="492">
        <v>-4.0000000000000003E-5</v>
      </c>
      <c r="K72" s="492">
        <v>-4.0000000000000003E-5</v>
      </c>
      <c r="L72" s="492">
        <v>-4.0000000000000003E-5</v>
      </c>
      <c r="M72" s="492">
        <v>-4.0000000000000003E-5</v>
      </c>
      <c r="N72" s="492">
        <v>-4.0000000000000003E-5</v>
      </c>
      <c r="O72" s="492">
        <v>-4.0000000000000003E-5</v>
      </c>
      <c r="P72" s="492">
        <v>-4.0000000000000003E-5</v>
      </c>
      <c r="Q72" s="492">
        <v>-4.0000000000000003E-5</v>
      </c>
      <c r="R72" s="492">
        <v>-4.0000000000000003E-5</v>
      </c>
      <c r="S72" s="496" t="s">
        <v>270</v>
      </c>
      <c r="T72" s="496" t="s">
        <v>270</v>
      </c>
      <c r="U72" s="492">
        <v>4.0000000000000003E-5</v>
      </c>
      <c r="V72" s="492">
        <v>4.0000000000000003E-5</v>
      </c>
      <c r="W72" s="492">
        <v>4.0000000000000003E-5</v>
      </c>
      <c r="X72" s="492">
        <v>4.0000000000000003E-5</v>
      </c>
      <c r="Y72" s="492">
        <v>4.0000000000000003E-5</v>
      </c>
      <c r="Z72" s="492">
        <v>4.0000000000000003E-5</v>
      </c>
      <c r="AA72" s="492">
        <v>4.0000000000000003E-5</v>
      </c>
      <c r="AB72" s="492">
        <v>4.0000000000000003E-5</v>
      </c>
      <c r="AC72" s="492">
        <v>4.0000000000000003E-5</v>
      </c>
      <c r="AD72" s="492">
        <v>4.0000000000000003E-5</v>
      </c>
      <c r="AE72" s="496" t="s">
        <v>270</v>
      </c>
      <c r="AF72" s="496" t="s">
        <v>270</v>
      </c>
      <c r="AH72" s="499" t="s">
        <v>302</v>
      </c>
      <c r="AI72" s="528">
        <v>191025</v>
      </c>
      <c r="AJ72" s="358" t="s">
        <v>288</v>
      </c>
      <c r="AK72" s="358" t="s">
        <v>289</v>
      </c>
      <c r="AL72" s="381">
        <f>IF((SUMIF(U74:AF74,AH71,U76:AF76))&gt;0,(SUMIF(U74:AF74,AH71,U76:AF76)),0)</f>
        <v>3029.0882899999997</v>
      </c>
      <c r="AM72" s="500">
        <f>IF((SUMIF(U74:AF74,AH71,U76:AF76))&lt;0,-(SUMIF(U74:AF74,AH71,U76:AF76)),0)</f>
        <v>0</v>
      </c>
    </row>
    <row r="73" spans="1:39">
      <c r="A73" s="483" t="s">
        <v>293</v>
      </c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92"/>
      <c r="Y73" s="492"/>
      <c r="Z73" s="492"/>
      <c r="AA73" s="492"/>
      <c r="AB73" s="492"/>
      <c r="AC73" s="492"/>
      <c r="AD73" s="492"/>
      <c r="AE73" s="492"/>
      <c r="AF73" s="492"/>
      <c r="AH73" s="499" t="s">
        <v>303</v>
      </c>
      <c r="AI73" s="528">
        <v>805110</v>
      </c>
      <c r="AJ73" s="358" t="s">
        <v>288</v>
      </c>
      <c r="AK73" s="358" t="s">
        <v>289</v>
      </c>
      <c r="AL73" s="381">
        <f>IF((SUMIF(U74:AF74,AH71,U76:AF76))&lt;0,-(SUMIF(U74:AF74,AH71,U76:AF76)),0)</f>
        <v>0</v>
      </c>
      <c r="AM73" s="500">
        <f>IF((SUMIF(U74:AF74,AH71,U76:AF76))&gt;0,(SUMIF(U74:AF74,AH71,U76:AF76)),0)</f>
        <v>3029.0882899999997</v>
      </c>
    </row>
    <row r="74" spans="1:39" s="483" customFormat="1">
      <c r="A74" s="484">
        <v>191025</v>
      </c>
      <c r="B74" s="485" t="s">
        <v>256</v>
      </c>
      <c r="C74" s="486" t="s">
        <v>251</v>
      </c>
      <c r="D74" s="679" t="s">
        <v>252</v>
      </c>
      <c r="E74" s="484">
        <v>201309</v>
      </c>
      <c r="F74" s="484">
        <f>E74+1</f>
        <v>201310</v>
      </c>
      <c r="G74" s="484">
        <f>F74+1</f>
        <v>201311</v>
      </c>
      <c r="H74" s="484">
        <f>G74+1</f>
        <v>201312</v>
      </c>
      <c r="I74" s="484">
        <v>201401</v>
      </c>
      <c r="J74" s="484">
        <v>201402</v>
      </c>
      <c r="K74" s="484">
        <v>201403</v>
      </c>
      <c r="L74" s="484">
        <v>201404</v>
      </c>
      <c r="M74" s="484">
        <v>201405</v>
      </c>
      <c r="N74" s="484">
        <v>201406</v>
      </c>
      <c r="O74" s="484">
        <v>201407</v>
      </c>
      <c r="P74" s="484">
        <v>201408</v>
      </c>
      <c r="Q74" s="484">
        <v>201409</v>
      </c>
      <c r="R74" s="484">
        <v>201410</v>
      </c>
      <c r="S74" s="484">
        <v>201411</v>
      </c>
      <c r="T74" s="484">
        <v>201412</v>
      </c>
      <c r="U74" s="484">
        <v>201501</v>
      </c>
      <c r="V74" s="484">
        <f t="shared" ref="V74:AD74" si="41">U74+1</f>
        <v>201502</v>
      </c>
      <c r="W74" s="484">
        <f t="shared" si="41"/>
        <v>201503</v>
      </c>
      <c r="X74" s="484">
        <f t="shared" si="41"/>
        <v>201504</v>
      </c>
      <c r="Y74" s="484">
        <f t="shared" si="41"/>
        <v>201505</v>
      </c>
      <c r="Z74" s="484">
        <f t="shared" si="41"/>
        <v>201506</v>
      </c>
      <c r="AA74" s="484">
        <f t="shared" si="41"/>
        <v>201507</v>
      </c>
      <c r="AB74" s="484">
        <f t="shared" si="41"/>
        <v>201508</v>
      </c>
      <c r="AC74" s="484">
        <f t="shared" si="41"/>
        <v>201509</v>
      </c>
      <c r="AD74" s="484">
        <f t="shared" si="41"/>
        <v>201510</v>
      </c>
      <c r="AE74" s="484">
        <f>AD74+1</f>
        <v>201511</v>
      </c>
      <c r="AF74" s="484">
        <f t="shared" ref="AF74" si="42">AE74+1</f>
        <v>201512</v>
      </c>
      <c r="AH74" s="499" t="s">
        <v>273</v>
      </c>
      <c r="AI74" s="528"/>
      <c r="AJ74" s="358"/>
      <c r="AK74" s="358"/>
      <c r="AL74" s="381">
        <v>0</v>
      </c>
      <c r="AM74" s="500">
        <v>0</v>
      </c>
    </row>
    <row r="75" spans="1:39" ht="16" thickBot="1">
      <c r="A75" s="493"/>
      <c r="B75" s="481" t="s">
        <v>253</v>
      </c>
      <c r="E75" s="482">
        <v>49539.047030000002</v>
      </c>
      <c r="F75" s="482">
        <f>E78</f>
        <v>38932.729789999998</v>
      </c>
      <c r="G75" s="482">
        <f>F78</f>
        <v>8140.2385399999985</v>
      </c>
      <c r="H75" s="482">
        <f>G78</f>
        <v>-693.68146000000161</v>
      </c>
      <c r="I75" s="482">
        <v>-13695.721460000002</v>
      </c>
      <c r="J75" s="482">
        <v>-24946.501630000002</v>
      </c>
      <c r="K75" s="482">
        <v>-35935.697740000003</v>
      </c>
      <c r="L75" s="482">
        <v>-43868.737290000005</v>
      </c>
      <c r="M75" s="482">
        <v>-48533.952360000003</v>
      </c>
      <c r="N75" s="482">
        <v>-51097.105150000003</v>
      </c>
      <c r="O75" s="482">
        <v>-53019.406010000006</v>
      </c>
      <c r="P75" s="482">
        <v>-54619.79959000001</v>
      </c>
      <c r="Q75" s="482">
        <v>-56173.40615000001</v>
      </c>
      <c r="R75" s="482">
        <v>-58149.353890000013</v>
      </c>
      <c r="S75" s="482">
        <v>-61477.482430000011</v>
      </c>
      <c r="T75" s="482">
        <v>-56200.445640000013</v>
      </c>
      <c r="U75" s="482">
        <v>-49897.475640000011</v>
      </c>
      <c r="V75" s="482">
        <f>U78</f>
        <v>-43064.021250000013</v>
      </c>
      <c r="W75" s="482">
        <f t="shared" ref="W75:AD75" si="43">V78</f>
        <v>-38138.117780000015</v>
      </c>
      <c r="X75" s="482">
        <f t="shared" si="43"/>
        <v>-34282.961340000016</v>
      </c>
      <c r="Y75" s="482">
        <f t="shared" si="43"/>
        <v>-31253.873050000017</v>
      </c>
      <c r="Z75" s="482">
        <f t="shared" si="43"/>
        <v>-29770.929110000015</v>
      </c>
      <c r="AA75" s="482">
        <f t="shared" si="43"/>
        <v>-28708.282540000015</v>
      </c>
      <c r="AB75" s="482">
        <f t="shared" si="43"/>
        <v>-27692.487530000013</v>
      </c>
      <c r="AC75" s="482">
        <f t="shared" si="43"/>
        <v>-26711.886850000014</v>
      </c>
      <c r="AD75" s="482">
        <f t="shared" si="43"/>
        <v>-25249.174790000012</v>
      </c>
      <c r="AE75" s="482">
        <f>AD78</f>
        <v>-23172.041910000011</v>
      </c>
      <c r="AF75" s="482">
        <f>AE78</f>
        <v>-23172.041910000011</v>
      </c>
      <c r="AH75" s="501" t="s">
        <v>273</v>
      </c>
      <c r="AI75" s="529"/>
      <c r="AJ75" s="502"/>
      <c r="AK75" s="502"/>
      <c r="AL75" s="503">
        <v>0</v>
      </c>
      <c r="AM75" s="521">
        <v>0</v>
      </c>
    </row>
    <row r="76" spans="1:39" ht="16" thickBot="1">
      <c r="B76" s="481" t="s">
        <v>23</v>
      </c>
      <c r="C76" s="482">
        <f>SUM(U76:AF76)</f>
        <v>26725.433730000008</v>
      </c>
      <c r="D76" s="494">
        <f>SUM(G76:R76)</f>
        <v>-69617.720970000009</v>
      </c>
      <c r="E76" s="482">
        <f>SUMPRODUCT(E53:E60,E65:E72)</f>
        <v>-10606.31724</v>
      </c>
      <c r="F76" s="482">
        <f>SUMPRODUCT(F53:F60,F65:F72)</f>
        <v>-30792.491249999999</v>
      </c>
      <c r="G76" s="482">
        <v>-8833.92</v>
      </c>
      <c r="H76" s="482">
        <v>-13002.04</v>
      </c>
      <c r="I76" s="482">
        <v>-11250.78017</v>
      </c>
      <c r="J76" s="482">
        <v>-10989.196110000001</v>
      </c>
      <c r="K76" s="482">
        <v>-7933.0395500000013</v>
      </c>
      <c r="L76" s="482">
        <v>-4665.2150699999993</v>
      </c>
      <c r="M76" s="482">
        <v>-2563.1527899999996</v>
      </c>
      <c r="N76" s="482">
        <v>-1922.3008600000003</v>
      </c>
      <c r="O76" s="482">
        <v>-1600.3935799999999</v>
      </c>
      <c r="P76" s="482">
        <v>-1553.6065599999997</v>
      </c>
      <c r="Q76" s="482">
        <v>-1975.9477400000001</v>
      </c>
      <c r="R76" s="482">
        <v>-3328.1285399999992</v>
      </c>
      <c r="S76" s="557">
        <v>5277.0367900000001</v>
      </c>
      <c r="T76" s="557">
        <v>6302.97</v>
      </c>
      <c r="U76" s="482">
        <v>6833.4543899999999</v>
      </c>
      <c r="V76" s="482">
        <f t="shared" ref="V76:AD76" si="44">SUMPRODUCT(V53:V60,V65:V72)</f>
        <v>4925.9034700000011</v>
      </c>
      <c r="W76" s="482">
        <f t="shared" si="44"/>
        <v>3855.1564400000007</v>
      </c>
      <c r="X76" s="482">
        <f t="shared" si="44"/>
        <v>3029.0882899999997</v>
      </c>
      <c r="Y76" s="482">
        <f t="shared" si="44"/>
        <v>1482.9439400000001</v>
      </c>
      <c r="Z76" s="482">
        <f t="shared" si="44"/>
        <v>1062.6465700000001</v>
      </c>
      <c r="AA76" s="482">
        <f t="shared" si="44"/>
        <v>1015.7950099999999</v>
      </c>
      <c r="AB76" s="482">
        <f t="shared" si="44"/>
        <v>980.60068000000001</v>
      </c>
      <c r="AC76" s="482">
        <f t="shared" si="44"/>
        <v>1462.7120600000003</v>
      </c>
      <c r="AD76" s="482">
        <f t="shared" si="44"/>
        <v>2077.1328800000001</v>
      </c>
      <c r="AE76" s="563"/>
      <c r="AF76" s="563"/>
      <c r="AH76" s="516"/>
      <c r="AI76" s="530"/>
      <c r="AJ76" s="517"/>
      <c r="AK76" s="517"/>
      <c r="AL76" s="517" t="s">
        <v>159</v>
      </c>
      <c r="AM76" s="518">
        <f>SUM(AL72:AL75)-SUM(AM72:AM75)</f>
        <v>0</v>
      </c>
    </row>
    <row r="77" spans="1:39">
      <c r="B77" s="481" t="s">
        <v>148</v>
      </c>
      <c r="C77" s="482">
        <f>SUM(I77:T77)</f>
        <v>0</v>
      </c>
      <c r="E77" s="482">
        <v>0</v>
      </c>
      <c r="F77" s="482">
        <v>0</v>
      </c>
      <c r="G77" s="482">
        <v>0</v>
      </c>
      <c r="H77" s="482">
        <v>0</v>
      </c>
      <c r="I77" s="482">
        <v>0</v>
      </c>
      <c r="J77" s="482">
        <v>0</v>
      </c>
      <c r="K77" s="482">
        <v>0</v>
      </c>
      <c r="L77" s="482">
        <v>0</v>
      </c>
      <c r="M77" s="482">
        <v>0</v>
      </c>
      <c r="N77" s="482">
        <v>0</v>
      </c>
      <c r="O77" s="482">
        <v>0</v>
      </c>
      <c r="P77" s="482">
        <v>0</v>
      </c>
      <c r="Q77" s="482">
        <v>0</v>
      </c>
      <c r="R77" s="482">
        <v>0</v>
      </c>
      <c r="S77" s="482">
        <v>0</v>
      </c>
      <c r="T77" s="482">
        <v>0</v>
      </c>
      <c r="U77" s="482">
        <v>0</v>
      </c>
      <c r="V77" s="482">
        <v>0</v>
      </c>
      <c r="W77" s="482">
        <v>0</v>
      </c>
      <c r="X77" s="482">
        <v>0</v>
      </c>
      <c r="Y77" s="482">
        <v>0</v>
      </c>
      <c r="Z77" s="482">
        <v>0</v>
      </c>
      <c r="AA77" s="482">
        <v>0</v>
      </c>
      <c r="AB77" s="482">
        <v>0</v>
      </c>
      <c r="AC77" s="482">
        <v>0</v>
      </c>
      <c r="AD77" s="482">
        <v>0</v>
      </c>
      <c r="AE77" s="482">
        <v>0</v>
      </c>
      <c r="AF77" s="482">
        <v>0</v>
      </c>
    </row>
    <row r="78" spans="1:39" ht="16" thickBot="1">
      <c r="B78" s="481" t="s">
        <v>56</v>
      </c>
      <c r="C78" s="541">
        <f>SUM(C76:C77)</f>
        <v>26725.433730000008</v>
      </c>
      <c r="D78" s="541"/>
      <c r="E78" s="541">
        <f t="shared" ref="E78:H78" si="45">SUM(E75:E77)</f>
        <v>38932.729789999998</v>
      </c>
      <c r="F78" s="541">
        <f t="shared" si="45"/>
        <v>8140.2385399999985</v>
      </c>
      <c r="G78" s="541">
        <f t="shared" si="45"/>
        <v>-693.68146000000161</v>
      </c>
      <c r="H78" s="541">
        <f t="shared" si="45"/>
        <v>-13695.721460000002</v>
      </c>
      <c r="I78" s="541">
        <v>-24946.501630000002</v>
      </c>
      <c r="J78" s="541">
        <v>-35935.697740000003</v>
      </c>
      <c r="K78" s="541">
        <v>-43868.737290000005</v>
      </c>
      <c r="L78" s="541">
        <v>-48533.952360000003</v>
      </c>
      <c r="M78" s="541">
        <v>-51097.105150000003</v>
      </c>
      <c r="N78" s="541">
        <v>-53019.406010000006</v>
      </c>
      <c r="O78" s="541">
        <v>-54619.79959000001</v>
      </c>
      <c r="P78" s="541">
        <v>-56173.40615000001</v>
      </c>
      <c r="Q78" s="541">
        <v>-58149.353890000013</v>
      </c>
      <c r="R78" s="541">
        <v>-61477.482430000011</v>
      </c>
      <c r="S78" s="541">
        <v>-56200.445640000013</v>
      </c>
      <c r="T78" s="541">
        <v>-49897.475640000011</v>
      </c>
      <c r="U78" s="541">
        <v>-43064.021250000013</v>
      </c>
      <c r="V78" s="541">
        <f t="shared" ref="V78:AF78" si="46">SUM(V75:V77)</f>
        <v>-38138.117780000015</v>
      </c>
      <c r="W78" s="541">
        <f t="shared" si="46"/>
        <v>-34282.961340000016</v>
      </c>
      <c r="X78" s="541">
        <f t="shared" si="46"/>
        <v>-31253.873050000017</v>
      </c>
      <c r="Y78" s="541">
        <f t="shared" si="46"/>
        <v>-29770.929110000015</v>
      </c>
      <c r="Z78" s="541">
        <f t="shared" si="46"/>
        <v>-28708.282540000015</v>
      </c>
      <c r="AA78" s="541">
        <f t="shared" si="46"/>
        <v>-27692.487530000013</v>
      </c>
      <c r="AB78" s="541">
        <f t="shared" si="46"/>
        <v>-26711.886850000014</v>
      </c>
      <c r="AC78" s="541">
        <f t="shared" si="46"/>
        <v>-25249.174790000012</v>
      </c>
      <c r="AD78" s="541">
        <f t="shared" si="46"/>
        <v>-23172.041910000011</v>
      </c>
      <c r="AE78" s="541">
        <f t="shared" si="46"/>
        <v>-23172.041910000011</v>
      </c>
      <c r="AF78" s="541">
        <f t="shared" si="46"/>
        <v>-23172.041910000011</v>
      </c>
    </row>
    <row r="79" spans="1:39" ht="16" thickTop="1">
      <c r="B79" s="481" t="s">
        <v>260</v>
      </c>
      <c r="E79" s="482" t="e">
        <f ca="1">_xll.Get_Balance(E74,"YTD","USD","Total","A","","001",$A$74,"GD","WA","DL")</f>
        <v>#NAME?</v>
      </c>
      <c r="F79" s="482" t="e">
        <f ca="1">_xll.Get_Balance(F74,"YTD","USD","Total","A","","001",$A$74,"GD","WA","DL")</f>
        <v>#NAME?</v>
      </c>
      <c r="G79" s="482" t="e">
        <f ca="1">_xll.Get_Balance(G74,"YTD","USD","Total","A","","001",$A$74,"GD","WA","DL")</f>
        <v>#NAME?</v>
      </c>
      <c r="H79" s="482" t="e">
        <f ca="1">_xll.Get_Balance(H74,"YTD","USD","Total","A","","001",$A$74,"GD","WA","DL")</f>
        <v>#NAME?</v>
      </c>
      <c r="I79" s="482">
        <v>-24946.5</v>
      </c>
      <c r="J79" s="482">
        <v>-35935.699999999997</v>
      </c>
      <c r="K79" s="482">
        <v>-43868.74</v>
      </c>
      <c r="L79" s="482">
        <v>-48533.96</v>
      </c>
      <c r="M79" s="482">
        <v>-51097.11</v>
      </c>
      <c r="N79" s="482">
        <v>-53019.41</v>
      </c>
      <c r="O79" s="482">
        <v>-54619.8</v>
      </c>
      <c r="P79" s="482">
        <v>-56173.41</v>
      </c>
      <c r="Q79" s="482">
        <v>-58149.36</v>
      </c>
      <c r="R79" s="482">
        <v>-61477.49</v>
      </c>
      <c r="S79" s="482">
        <v>-56200.45</v>
      </c>
      <c r="T79" s="482">
        <v>-49897.48</v>
      </c>
      <c r="U79" s="482">
        <v>-43064.03</v>
      </c>
      <c r="V79" s="482" t="e">
        <f ca="1">_xll.Get_Balance(V74,"YTD","USD","Total","A","","001",$A$74,"GD","WA","DL")</f>
        <v>#NAME?</v>
      </c>
      <c r="W79" s="482" t="e">
        <f ca="1">_xll.Get_Balance(W74,"YTD","USD","Total","A","","001",$A$74,"GD","WA","DL")</f>
        <v>#NAME?</v>
      </c>
      <c r="X79" s="482" t="e">
        <f ca="1">_xll.Get_Balance(X74,"YTD","USD","Total","A","","001",$A$74,"GD","WA","DL")</f>
        <v>#NAME?</v>
      </c>
      <c r="Y79" s="482" t="e">
        <f ca="1">_xll.Get_Balance(Y74,"YTD","USD","Total","A","","001",$A$74,"GD","WA","DL")</f>
        <v>#NAME?</v>
      </c>
      <c r="Z79" s="482" t="e">
        <f ca="1">_xll.Get_Balance(Z74,"YTD","USD","Total","A","","001",$A$74,"GD","WA","DL")</f>
        <v>#NAME?</v>
      </c>
      <c r="AA79" s="482" t="e">
        <f ca="1">_xll.Get_Balance(AA74,"YTD","USD","Total","A","","001",$A$74,"GD","WA","DL")</f>
        <v>#NAME?</v>
      </c>
      <c r="AB79" s="482" t="e">
        <f ca="1">_xll.Get_Balance(AB74,"YTD","USD","Total","A","","001",$A$74,"GD","WA","DL")</f>
        <v>#NAME?</v>
      </c>
      <c r="AC79" s="482" t="e">
        <f ca="1">_xll.Get_Balance(AC74,"YTD","USD","Total","A","","001",$A$74,"GD","WA","DL")</f>
        <v>#NAME?</v>
      </c>
      <c r="AD79" s="482" t="e">
        <f ca="1">_xll.Get_Balance(AD74,"YTD","USD","Total","A","","001",$A$74,"GD","WA","DL")</f>
        <v>#NAME?</v>
      </c>
      <c r="AE79" s="482" t="e">
        <f ca="1">_xll.Get_Balance(AE74,"YTD","USD","Total","A","","001",$A$74,"GD","WA","DL")</f>
        <v>#NAME?</v>
      </c>
      <c r="AF79" s="482" t="e">
        <f ca="1">_xll.Get_Balance(AF74,"YTD","USD","Total","A","","001",$A$74,"GD","WA","DL")</f>
        <v>#NAME?</v>
      </c>
    </row>
    <row r="80" spans="1:39">
      <c r="B80" s="481" t="s">
        <v>245</v>
      </c>
      <c r="E80" s="482" t="e">
        <f t="shared" ref="E80:H80" ca="1" si="47">E78-E79</f>
        <v>#NAME?</v>
      </c>
      <c r="F80" s="482" t="e">
        <f t="shared" ca="1" si="47"/>
        <v>#NAME?</v>
      </c>
      <c r="G80" s="482" t="e">
        <f t="shared" ca="1" si="47"/>
        <v>#NAME?</v>
      </c>
      <c r="H80" s="482" t="e">
        <f t="shared" ca="1" si="47"/>
        <v>#NAME?</v>
      </c>
      <c r="I80" s="482">
        <v>-1.6300000024784822E-3</v>
      </c>
      <c r="J80" s="482">
        <v>2.2599999938393012E-3</v>
      </c>
      <c r="K80" s="482">
        <v>2.7099999933852814E-3</v>
      </c>
      <c r="L80" s="482">
        <v>7.6399999961722642E-3</v>
      </c>
      <c r="M80" s="482">
        <v>4.8499999975319952E-3</v>
      </c>
      <c r="N80" s="482">
        <v>3.9899999974295497E-3</v>
      </c>
      <c r="O80" s="482">
        <v>4.0999999328050762E-4</v>
      </c>
      <c r="P80" s="482">
        <v>3.8499999936902896E-3</v>
      </c>
      <c r="Q80" s="482">
        <v>6.1099999875295907E-3</v>
      </c>
      <c r="R80" s="482">
        <v>7.5699999870266765E-3</v>
      </c>
      <c r="S80" s="482">
        <v>4.3599999844445847E-3</v>
      </c>
      <c r="T80" s="482">
        <v>4.3599999917205423E-3</v>
      </c>
      <c r="U80" s="482">
        <v>8.7499999863211997E-3</v>
      </c>
      <c r="V80" s="482" t="e">
        <f t="shared" ref="V80:AF80" ca="1" si="48">V78-V79</f>
        <v>#NAME?</v>
      </c>
      <c r="W80" s="482" t="e">
        <f t="shared" ca="1" si="48"/>
        <v>#NAME?</v>
      </c>
      <c r="X80" s="482" t="e">
        <f t="shared" ca="1" si="48"/>
        <v>#NAME?</v>
      </c>
      <c r="Y80" s="482" t="e">
        <f t="shared" ca="1" si="48"/>
        <v>#NAME?</v>
      </c>
      <c r="Z80" s="482" t="e">
        <f t="shared" ca="1" si="48"/>
        <v>#NAME?</v>
      </c>
      <c r="AA80" s="482" t="e">
        <f t="shared" ca="1" si="48"/>
        <v>#NAME?</v>
      </c>
      <c r="AB80" s="482" t="e">
        <f t="shared" ca="1" si="48"/>
        <v>#NAME?</v>
      </c>
      <c r="AC80" s="482" t="e">
        <f t="shared" ca="1" si="48"/>
        <v>#NAME?</v>
      </c>
      <c r="AD80" s="482" t="e">
        <f t="shared" ca="1" si="48"/>
        <v>#NAME?</v>
      </c>
      <c r="AE80" s="482" t="e">
        <f t="shared" ca="1" si="48"/>
        <v>#NAME?</v>
      </c>
      <c r="AF80" s="482" t="e">
        <f t="shared" ca="1" si="48"/>
        <v>#NAME?</v>
      </c>
    </row>
  </sheetData>
  <conditionalFormatting sqref="E28 K28:AG28 L62:AG62">
    <cfRule type="cellIs" dxfId="341" priority="23" operator="notEqual">
      <formula>E27</formula>
    </cfRule>
  </conditionalFormatting>
  <conditionalFormatting sqref="F28">
    <cfRule type="cellIs" dxfId="340" priority="22" operator="notEqual">
      <formula>F27</formula>
    </cfRule>
  </conditionalFormatting>
  <conditionalFormatting sqref="G28">
    <cfRule type="cellIs" dxfId="339" priority="21" operator="notEqual">
      <formula>G27</formula>
    </cfRule>
  </conditionalFormatting>
  <conditionalFormatting sqref="H28">
    <cfRule type="cellIs" dxfId="338" priority="20" operator="notEqual">
      <formula>H27</formula>
    </cfRule>
  </conditionalFormatting>
  <conditionalFormatting sqref="G62">
    <cfRule type="cellIs" dxfId="337" priority="19" operator="notEqual">
      <formula>G61</formula>
    </cfRule>
  </conditionalFormatting>
  <conditionalFormatting sqref="H62">
    <cfRule type="cellIs" dxfId="336" priority="18" operator="notEqual">
      <formula>H61</formula>
    </cfRule>
  </conditionalFormatting>
  <conditionalFormatting sqref="E62">
    <cfRule type="cellIs" dxfId="335" priority="17" operator="notEqual">
      <formula>E61</formula>
    </cfRule>
  </conditionalFormatting>
  <conditionalFormatting sqref="F62">
    <cfRule type="cellIs" dxfId="334" priority="16" operator="notEqual">
      <formula>F61</formula>
    </cfRule>
  </conditionalFormatting>
  <conditionalFormatting sqref="AM76 AM45 AM11">
    <cfRule type="cellIs" dxfId="333" priority="15" operator="notEqual">
      <formula>0</formula>
    </cfRule>
  </conditionalFormatting>
  <conditionalFormatting sqref="D62">
    <cfRule type="cellIs" dxfId="332" priority="14" operator="notEqual">
      <formula>D61</formula>
    </cfRule>
  </conditionalFormatting>
  <conditionalFormatting sqref="C62">
    <cfRule type="cellIs" dxfId="331" priority="13" operator="notEqual">
      <formula>C61</formula>
    </cfRule>
  </conditionalFormatting>
  <conditionalFormatting sqref="D28">
    <cfRule type="cellIs" dxfId="330" priority="12" operator="notEqual">
      <formula>D27</formula>
    </cfRule>
  </conditionalFormatting>
  <conditionalFormatting sqref="C28">
    <cfRule type="cellIs" dxfId="329" priority="11" operator="notEqual">
      <formula>C27</formula>
    </cfRule>
  </conditionalFormatting>
  <conditionalFormatting sqref="I28">
    <cfRule type="cellIs" dxfId="328" priority="10" operator="notEqual">
      <formula>I27</formula>
    </cfRule>
  </conditionalFormatting>
  <conditionalFormatting sqref="I62">
    <cfRule type="cellIs" dxfId="327" priority="9" operator="notEqual">
      <formula>I61</formula>
    </cfRule>
  </conditionalFormatting>
  <conditionalFormatting sqref="J28">
    <cfRule type="cellIs" dxfId="326" priority="8" operator="notEqual">
      <formula>J27</formula>
    </cfRule>
  </conditionalFormatting>
  <conditionalFormatting sqref="J62">
    <cfRule type="cellIs" dxfId="325" priority="7" operator="notEqual">
      <formula>J61</formula>
    </cfRule>
  </conditionalFormatting>
  <conditionalFormatting sqref="K62">
    <cfRule type="cellIs" dxfId="324" priority="6" operator="notEqual">
      <formula>K61</formula>
    </cfRule>
  </conditionalFormatting>
  <conditionalFormatting sqref="U28">
    <cfRule type="cellIs" dxfId="323" priority="5" operator="notEqual">
      <formula>U27</formula>
    </cfRule>
  </conditionalFormatting>
  <conditionalFormatting sqref="U62">
    <cfRule type="cellIs" dxfId="322" priority="4" operator="notEqual">
      <formula>U61</formula>
    </cfRule>
  </conditionalFormatting>
  <conditionalFormatting sqref="V28">
    <cfRule type="cellIs" dxfId="321" priority="3" operator="notEqual">
      <formula>V27</formula>
    </cfRule>
  </conditionalFormatting>
  <conditionalFormatting sqref="V62">
    <cfRule type="cellIs" dxfId="320" priority="2" operator="notEqual">
      <formula>V61</formula>
    </cfRule>
  </conditionalFormatting>
  <conditionalFormatting sqref="W62">
    <cfRule type="cellIs" dxfId="319" priority="1" operator="notEqual">
      <formula>W61</formula>
    </cfRule>
  </conditionalFormatting>
  <pageMargins left="0" right="0" top="0.75" bottom="0.75" header="0.3" footer="0.3"/>
  <pageSetup scale="43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theme="8" tint="0.59999389629810485"/>
    <pageSetUpPr fitToPage="1"/>
  </sheetPr>
  <dimension ref="A1:AM92"/>
  <sheetViews>
    <sheetView zoomScale="89" zoomScaleNormal="89" zoomScaleSheetLayoutView="85" workbookViewId="0">
      <selection activeCell="U39" sqref="U39"/>
    </sheetView>
  </sheetViews>
  <sheetFormatPr defaultColWidth="9.09765625" defaultRowHeight="15.5"/>
  <cols>
    <col min="1" max="1" width="16.69921875" style="482" customWidth="1"/>
    <col min="2" max="2" width="25.296875" style="481" bestFit="1" customWidth="1"/>
    <col min="3" max="3" width="16.296875" style="482" bestFit="1" customWidth="1"/>
    <col min="4" max="4" width="16.09765625" style="482" customWidth="1"/>
    <col min="5" max="6" width="16.3984375" style="482" hidden="1" customWidth="1"/>
    <col min="7" max="7" width="16.296875" style="482" hidden="1" customWidth="1"/>
    <col min="8" max="9" width="18.3984375" style="482" hidden="1" customWidth="1"/>
    <col min="10" max="12" width="16.296875" style="482" hidden="1" customWidth="1"/>
    <col min="13" max="13" width="16.8984375" style="482" hidden="1" customWidth="1"/>
    <col min="14" max="18" width="16.296875" style="482" hidden="1" customWidth="1"/>
    <col min="19" max="20" width="16.296875" style="482" customWidth="1"/>
    <col min="21" max="21" width="18.3984375" style="482" customWidth="1"/>
    <col min="22" max="24" width="16.296875" style="482" customWidth="1"/>
    <col min="25" max="25" width="16.8984375" style="482" hidden="1" customWidth="1"/>
    <col min="26" max="32" width="16.296875" style="482" hidden="1" customWidth="1"/>
    <col min="33" max="33" width="1.59765625" style="482" customWidth="1"/>
    <col min="34" max="34" width="36.296875" style="482" bestFit="1" customWidth="1"/>
    <col min="35" max="35" width="15.59765625" style="525" bestFit="1" customWidth="1"/>
    <col min="36" max="36" width="4.69921875" style="482" bestFit="1" customWidth="1"/>
    <col min="37" max="37" width="3.3984375" style="482" bestFit="1" customWidth="1"/>
    <col min="38" max="39" width="17.09765625" style="482" bestFit="1" customWidth="1"/>
    <col min="40" max="40" width="0.59765625" style="482" customWidth="1"/>
    <col min="41" max="16384" width="9.09765625" style="482"/>
  </cols>
  <sheetData>
    <row r="1" spans="1:39">
      <c r="A1" s="480" t="s">
        <v>265</v>
      </c>
      <c r="AH1" s="480" t="s">
        <v>315</v>
      </c>
    </row>
    <row r="2" spans="1:39">
      <c r="A2" s="483" t="s">
        <v>267</v>
      </c>
    </row>
    <row r="3" spans="1:39" s="483" customFormat="1" ht="31.5" thickBot="1">
      <c r="A3" s="484">
        <v>191010</v>
      </c>
      <c r="B3" s="485" t="s">
        <v>256</v>
      </c>
      <c r="C3" s="486" t="s">
        <v>251</v>
      </c>
      <c r="D3" s="679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I3" s="484"/>
    </row>
    <row r="4" spans="1:39" s="483" customFormat="1" ht="16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H4" s="544">
        <v>201504</v>
      </c>
      <c r="AI4" s="526"/>
      <c r="AJ4" s="514"/>
      <c r="AK4" s="514"/>
      <c r="AL4" s="514"/>
      <c r="AM4" s="515"/>
    </row>
    <row r="5" spans="1:39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f>T13</f>
        <v>-411904.7279799963</v>
      </c>
      <c r="V5" s="482">
        <f>U13</f>
        <v>-645308.82581999747</v>
      </c>
      <c r="W5" s="482">
        <f t="shared" ref="W5:AF5" si="1">V13</f>
        <v>-851213.3205709972</v>
      </c>
      <c r="X5" s="482">
        <f t="shared" si="1"/>
        <v>-383853.68833599566</v>
      </c>
      <c r="Y5" s="482">
        <f t="shared" si="1"/>
        <v>-1320748.2898439963</v>
      </c>
      <c r="Z5" s="482">
        <f t="shared" si="1"/>
        <v>-1486769.1493459961</v>
      </c>
      <c r="AA5" s="482">
        <f t="shared" si="1"/>
        <v>-1775279.9458759972</v>
      </c>
      <c r="AB5" s="482">
        <f t="shared" si="1"/>
        <v>-2119120.6388879968</v>
      </c>
      <c r="AC5" s="482">
        <f t="shared" si="1"/>
        <v>-2515662.2971379957</v>
      </c>
      <c r="AD5" s="482">
        <f t="shared" si="1"/>
        <v>-3163911.9401459969</v>
      </c>
      <c r="AE5" s="482">
        <f t="shared" si="1"/>
        <v>-3819344.4755009972</v>
      </c>
      <c r="AF5" s="482">
        <f t="shared" si="1"/>
        <v>-4461427.0393109964</v>
      </c>
      <c r="AH5" s="497" t="s">
        <v>304</v>
      </c>
      <c r="AI5" s="527">
        <v>419600</v>
      </c>
      <c r="AJ5" s="498" t="s">
        <v>288</v>
      </c>
      <c r="AK5" s="498" t="s">
        <v>291</v>
      </c>
      <c r="AL5" s="519">
        <v>0</v>
      </c>
      <c r="AM5" s="520">
        <f>IF(SUMIF(U3:AF3,AH4,U8:AF8)&gt;0,SUMIF(U3:AF3,AH4,U8:AF8),0)</f>
        <v>0</v>
      </c>
    </row>
    <row r="6" spans="1:39">
      <c r="B6" s="481" t="s">
        <v>254</v>
      </c>
      <c r="C6" s="482">
        <f>SUM(U6:AF6)</f>
        <v>-5056717.7079139985</v>
      </c>
      <c r="D6" s="482">
        <f>-1369125.49+SUM(E6:N6,E9:T9)</f>
        <v>-2.14532227255404E-3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f>Jan!$J$53</f>
        <v>331968.15844599903</v>
      </c>
      <c r="V6" s="482">
        <f>Feb!$J$53</f>
        <v>0</v>
      </c>
      <c r="W6" s="482">
        <f>Mar!$J$53</f>
        <v>547802.71264300169</v>
      </c>
      <c r="X6" s="482">
        <f>Apr!$J$53</f>
        <v>-1029654.8148680007</v>
      </c>
      <c r="Y6" s="482">
        <f>May!$J$53</f>
        <v>-494908.28808599967</v>
      </c>
      <c r="Z6" s="482">
        <f>Jun!$J$53</f>
        <v>-803843.28933000052</v>
      </c>
      <c r="AA6" s="482">
        <f>Jul!$J$53</f>
        <v>-778841.02357199905</v>
      </c>
      <c r="AB6" s="482">
        <f>Aug!$J$53</f>
        <v>-816009.11660199915</v>
      </c>
      <c r="AC6" s="482">
        <f>Sep!$J$53</f>
        <v>-995450.54456800083</v>
      </c>
      <c r="AD6" s="482">
        <f>Oct!$J$55</f>
        <v>-911936.74747700011</v>
      </c>
      <c r="AE6" s="482">
        <f>Nov!$J$55</f>
        <v>-105844.75449999981</v>
      </c>
      <c r="AF6" s="482">
        <f>Dec!$J$53</f>
        <v>0</v>
      </c>
      <c r="AH6" s="499" t="s">
        <v>305</v>
      </c>
      <c r="AI6" s="528">
        <v>431600</v>
      </c>
      <c r="AJ6" s="358" t="s">
        <v>288</v>
      </c>
      <c r="AK6" s="358" t="s">
        <v>291</v>
      </c>
      <c r="AL6" s="381">
        <f>IF(SUMIF(U3:AF3,AH4,U8:AF8)&lt;0,-SUMIF(U3:AF3,AH4,U8:AF8),0)</f>
        <v>709.89</v>
      </c>
      <c r="AM6" s="500">
        <v>0</v>
      </c>
    </row>
    <row r="7" spans="1:39">
      <c r="B7" s="481" t="s">
        <v>255</v>
      </c>
      <c r="C7" s="482">
        <f t="shared" ref="C7:C11" si="2">SUM(U7:AF7)</f>
        <v>954206.43658299907</v>
      </c>
      <c r="D7" s="482">
        <f>1867859.17+SUM(E7:N7,E10:T10)</f>
        <v>-1.7596203833818436E-3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f>Jan!$K$53</f>
        <v>-634725.57628600008</v>
      </c>
      <c r="V7" s="482">
        <f>Feb!$K$53</f>
        <v>-205263.17475099966</v>
      </c>
      <c r="W7" s="482">
        <f>Mar!$K$53</f>
        <v>-80067.220408000168</v>
      </c>
      <c r="X7" s="482">
        <f>Apr!$K$53</f>
        <v>93304.253359999973</v>
      </c>
      <c r="Y7" s="482">
        <f>May!$K$53</f>
        <v>330056.73858399986</v>
      </c>
      <c r="Z7" s="482">
        <f>Jun!$K$53</f>
        <v>516691.11279999983</v>
      </c>
      <c r="AA7" s="482">
        <f>Jul!$K$53</f>
        <v>436622.32056000002</v>
      </c>
      <c r="AB7" s="482">
        <f>Aug!$K$53</f>
        <v>421397.81835199991</v>
      </c>
      <c r="AC7" s="482">
        <f>Sep!$K$53</f>
        <v>349566.40155999974</v>
      </c>
      <c r="AD7" s="482">
        <f>Oct!$K$55</f>
        <v>259412.69212199986</v>
      </c>
      <c r="AE7" s="563">
        <f>Nov!$K$55</f>
        <v>-532788.92931000004</v>
      </c>
      <c r="AF7" s="482">
        <f>Dec!$K$53</f>
        <v>0</v>
      </c>
      <c r="AH7" s="499" t="s">
        <v>306</v>
      </c>
      <c r="AI7" s="528">
        <v>191010</v>
      </c>
      <c r="AJ7" s="358" t="s">
        <v>288</v>
      </c>
      <c r="AK7" s="358" t="s">
        <v>291</v>
      </c>
      <c r="AL7" s="381">
        <f>IF((SUMIF(U3:AF3,AH4,U6:AF6)+SUMIF(U3:AF3,AH4,U7:AF7)+SUMIF(U3:AF3,AH4,U8:AF8))&gt;0,(SUMIF(U3:AF3,AH4,U6:AF6)+SUMIF(U3:AF3,AH4,U7:AF7)+SUMIF(U3:AF3,AH4,U8:AF8)),0)</f>
        <v>0</v>
      </c>
      <c r="AM7" s="500">
        <f>IF((SUMIF(U3:AF3,AH4,U6:AF6)+SUMIF(U3:AF3,AH4,U7:AF7)+SUMIF(U3:AF3,AH4,U8:AF8))&lt;0,-(SUMIF(U3:AF3,AH4,U6:AF6)+SUMIF(U3:AF3,AH4,U7:AF7)++SUMIF(U3:AF3,AH4,U8:AF8)),0)</f>
        <v>937060.45150800073</v>
      </c>
    </row>
    <row r="8" spans="1:39">
      <c r="B8" s="481" t="s">
        <v>258</v>
      </c>
      <c r="C8" s="482">
        <f t="shared" si="2"/>
        <v>-20775.64</v>
      </c>
      <c r="D8" s="482">
        <f>-7356.73+SUM(E8:N8,E11:T11)</f>
        <v>0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f>ROUND(((X5+X12)*(X4/12))+((SUM(X6:X7)/2)*(X4/12)),2)</f>
        <v>-709.89</v>
      </c>
      <c r="Y8" s="489">
        <f t="shared" ref="Y8:AC8" si="3">ROUND(((Y5+Y9+Y10+Y11)*(Y4/12))+((SUM(Y6:Y7)/2)*(Y4/12)),2)</f>
        <v>-1169.31</v>
      </c>
      <c r="Z8" s="489">
        <f t="shared" si="3"/>
        <v>-1358.62</v>
      </c>
      <c r="AA8" s="489">
        <f t="shared" si="3"/>
        <v>-1621.99</v>
      </c>
      <c r="AB8" s="489">
        <f t="shared" si="3"/>
        <v>-1930.36</v>
      </c>
      <c r="AC8" s="489">
        <f t="shared" si="3"/>
        <v>-2365.5</v>
      </c>
      <c r="AD8" s="489">
        <f>ROUND(((AD5+AD9+AD10+AD11)*(AD4/12))+((SUM(AD6:AD7)/2)*(AD4/12)),2)</f>
        <v>-2908.48</v>
      </c>
      <c r="AE8" s="482">
        <f>ROUND(((AE5+AE9+AE10+AE11)*(AE4/12))+((SUM(AE6:AE7)/2)*(AE4/12)),2)</f>
        <v>-3448.88</v>
      </c>
      <c r="AF8" s="489">
        <f>ROUND(((AF5+AF9+AF10+AF11)*(AF4/12))+((SUM(AF6:AF7)/2)*(AF4/12)),2)</f>
        <v>-3717.86</v>
      </c>
      <c r="AH8" s="499" t="s">
        <v>307</v>
      </c>
      <c r="AI8" s="528">
        <v>805120</v>
      </c>
      <c r="AJ8" s="358" t="s">
        <v>288</v>
      </c>
      <c r="AK8" s="358" t="s">
        <v>291</v>
      </c>
      <c r="AL8" s="381">
        <f>IF((SUMIF(U3:AF3,AH4,U6:AF6)+SUMIF(U3:AF3,AH4,U7:AF7))&lt;0,-(SUMIF(U3:AF3,AH4,U6:AF6)+SUMIF(U3:AF3,AH4,U7:AF7)),0)</f>
        <v>936350.56150800071</v>
      </c>
      <c r="AM8" s="500">
        <f>IF((SUMIF(U3:AF3,AH4,U6:AF6)+SUMIF(U3:AF3,AH4,U7:AF7))&gt;0,(SUMIF(U3:AF3,AH4,U6:AF6)+SUMIF(U3:AF3,AH4,U7:AF7)),0)</f>
        <v>0</v>
      </c>
    </row>
    <row r="9" spans="1:39">
      <c r="B9" s="481" t="s">
        <v>262</v>
      </c>
      <c r="C9" s="482">
        <f t="shared" si="2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F9" s="482">
        <v>0</v>
      </c>
      <c r="AH9" s="499" t="s">
        <v>11</v>
      </c>
      <c r="AI9" s="528">
        <v>191010</v>
      </c>
      <c r="AJ9" s="358" t="s">
        <v>288</v>
      </c>
      <c r="AK9" s="358" t="s">
        <v>291</v>
      </c>
      <c r="AL9" s="381">
        <v>0</v>
      </c>
      <c r="AM9" s="500">
        <v>0</v>
      </c>
    </row>
    <row r="10" spans="1:39" ht="16" thickBot="1">
      <c r="B10" s="481" t="s">
        <v>263</v>
      </c>
      <c r="C10" s="482">
        <f t="shared" si="2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F10" s="482">
        <v>0</v>
      </c>
      <c r="AH10" s="501" t="str">
        <f>AH9</f>
        <v>Tracker Transfer</v>
      </c>
      <c r="AI10" s="529">
        <f>AI44</f>
        <v>191000</v>
      </c>
      <c r="AJ10" s="529" t="str">
        <f>AJ44</f>
        <v>GD</v>
      </c>
      <c r="AK10" s="529" t="str">
        <f>AK44</f>
        <v>ID</v>
      </c>
      <c r="AL10" s="503">
        <v>0</v>
      </c>
      <c r="AM10" s="521">
        <f>AL9</f>
        <v>0</v>
      </c>
    </row>
    <row r="11" spans="1:39" ht="16" thickBot="1">
      <c r="B11" s="481" t="s">
        <v>264</v>
      </c>
      <c r="C11" s="482">
        <f t="shared" si="2"/>
        <v>-49.16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F11" s="482">
        <v>0</v>
      </c>
      <c r="AH11" s="516"/>
      <c r="AI11" s="530"/>
      <c r="AJ11" s="517"/>
      <c r="AK11" s="517"/>
      <c r="AL11" s="517" t="s">
        <v>159</v>
      </c>
      <c r="AM11" s="518">
        <f>SUM(AL5:AL10)-SUM(AM5:AM10)</f>
        <v>0</v>
      </c>
    </row>
    <row r="12" spans="1:39">
      <c r="B12" s="481" t="s">
        <v>148</v>
      </c>
      <c r="C12" s="482">
        <f>SUM(U12:AF12)</f>
        <v>70095.900000000009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</row>
    <row r="13" spans="1:39" ht="16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4">SUM(F5:F12)</f>
        <v>-179650.44284699953</v>
      </c>
      <c r="G13" s="541">
        <f t="shared" si="4"/>
        <v>-770749.33284699952</v>
      </c>
      <c r="H13" s="541">
        <f t="shared" si="4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F13" si="5">SUM(U5:U12)</f>
        <v>-645308.82581999747</v>
      </c>
      <c r="V13" s="541">
        <f t="shared" si="5"/>
        <v>-851213.3205709972</v>
      </c>
      <c r="W13" s="541">
        <f t="shared" si="5"/>
        <v>-383853.68833599566</v>
      </c>
      <c r="X13" s="541">
        <f t="shared" si="5"/>
        <v>-1320748.2898439963</v>
      </c>
      <c r="Y13" s="541">
        <f t="shared" si="5"/>
        <v>-1486769.1493459961</v>
      </c>
      <c r="Z13" s="541">
        <f t="shared" si="5"/>
        <v>-1775279.9458759972</v>
      </c>
      <c r="AA13" s="541">
        <f t="shared" si="5"/>
        <v>-2119120.6388879968</v>
      </c>
      <c r="AB13" s="541">
        <f t="shared" si="5"/>
        <v>-2515662.2971379957</v>
      </c>
      <c r="AC13" s="541">
        <f t="shared" si="5"/>
        <v>-3163911.9401459969</v>
      </c>
      <c r="AD13" s="541">
        <f t="shared" si="5"/>
        <v>-3819344.4755009972</v>
      </c>
      <c r="AE13" s="541">
        <f t="shared" si="5"/>
        <v>-4461427.0393109964</v>
      </c>
      <c r="AF13" s="541">
        <f t="shared" si="5"/>
        <v>-4465144.8993109968</v>
      </c>
    </row>
    <row r="14" spans="1:39" ht="16" thickTop="1">
      <c r="B14" s="481" t="s">
        <v>260</v>
      </c>
      <c r="E14" s="482" t="e">
        <f ca="1">_xll.Get_Balance(E3,"YTD","USD","Total","A","","001",$A$3,"GD","ID","DL")</f>
        <v>#NAME?</v>
      </c>
      <c r="F14" s="482" t="e">
        <f ca="1">_xll.Get_Balance(F3,"YTD","USD","Total","A","","001",$A$3,"GD","ID","DL")</f>
        <v>#NAME?</v>
      </c>
      <c r="G14" s="482" t="e">
        <f ca="1">_xll.Get_Balance(G3,"YTD","USD","Total","A","","001",$A$3,"GD","ID","DL")</f>
        <v>#NAME?</v>
      </c>
      <c r="H14" s="482" t="e">
        <f ca="1">_xll.Get_Balance(H3,"YTD","USD","Total","A","","001",$A$3,"GD","ID","DL")</f>
        <v>#NAME?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 t="e">
        <f ca="1">_xll.Get_Balance(S3,"YTD","USD","Total","A","","001",$A$3,"GD","ID","DL")</f>
        <v>#NAME?</v>
      </c>
      <c r="T14" s="482" t="e">
        <f ca="1">_xll.Get_Balance(T3,"YTD","USD","Total","A","","001",$A$3,"GD","ID","DL")</f>
        <v>#NAME?</v>
      </c>
      <c r="U14" s="482" t="e">
        <f ca="1">_xll.Get_Balance(U3,"YTD","USD","Total","A","","001",$A$3,"GD","ID","DL")</f>
        <v>#NAME?</v>
      </c>
      <c r="V14" s="482" t="e">
        <f ca="1">_xll.Get_Balance(V3,"YTD","USD","Total","A","","001",$A$3,"GD","ID","DL")</f>
        <v>#NAME?</v>
      </c>
      <c r="W14" s="482" t="e">
        <f ca="1">_xll.Get_Balance(W3,"YTD","USD","Total","A","","001",$A$3,"GD","ID","DL")</f>
        <v>#NAME?</v>
      </c>
      <c r="X14" s="482" t="e">
        <f ca="1">_xll.Get_Balance(X3,"YTD","USD","Total","A","","001",$A$3,"GD","ID","DL")</f>
        <v>#NAME?</v>
      </c>
      <c r="Y14" s="482" t="e">
        <f ca="1">_xll.Get_Balance(Y3,"YTD","USD","Total","A","","001",$A$3,"GD","ID","DL")</f>
        <v>#NAME?</v>
      </c>
      <c r="Z14" s="482" t="e">
        <f ca="1">_xll.Get_Balance(Z3,"YTD","USD","Total","A","","001",$A$3,"GD","ID","DL")</f>
        <v>#NAME?</v>
      </c>
      <c r="AA14" s="482" t="e">
        <f ca="1">_xll.Get_Balance(AA3,"YTD","USD","Total","A","","001",$A$3,"GD","ID","DL")</f>
        <v>#NAME?</v>
      </c>
      <c r="AB14" s="482" t="e">
        <f ca="1">_xll.Get_Balance(AB3,"YTD","USD","Total","A","","001",$A$3,"GD","ID","DL")</f>
        <v>#NAME?</v>
      </c>
      <c r="AC14" s="482" t="e">
        <f ca="1">_xll.Get_Balance(AC3,"YTD","USD","Total","A","","001",$A$3,"GD","ID","DL")</f>
        <v>#NAME?</v>
      </c>
      <c r="AD14" s="482" t="e">
        <f ca="1">_xll.Get_Balance(AD3,"YTD","USD","Total","A","","001",$A$3,"GD","ID","DL")</f>
        <v>#NAME?</v>
      </c>
      <c r="AE14" s="482" t="e">
        <f ca="1">_xll.Get_Balance(AE3,"YTD","USD","Total","A","","001",$A$3,"GD","ID","DL")</f>
        <v>#NAME?</v>
      </c>
      <c r="AF14" s="482" t="e">
        <f ca="1">_xll.Get_Balance(AF3,"YTD","USD","Total","A","","001",$A$3,"GD","ID","DL")</f>
        <v>#NAME?</v>
      </c>
    </row>
    <row r="15" spans="1:39">
      <c r="B15" s="481" t="s">
        <v>245</v>
      </c>
      <c r="E15" s="482" t="e">
        <f t="shared" ref="E15:H15" ca="1" si="6">E13-E14</f>
        <v>#NAME?</v>
      </c>
      <c r="F15" s="482" t="e">
        <f t="shared" ca="1" si="6"/>
        <v>#NAME?</v>
      </c>
      <c r="G15" s="482" t="e">
        <f t="shared" ca="1" si="6"/>
        <v>#NAME?</v>
      </c>
      <c r="H15" s="482" t="e">
        <f t="shared" ca="1" si="6"/>
        <v>#NAME?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 t="e">
        <f t="shared" ref="S15:T15" ca="1" si="7">S13-S14</f>
        <v>#NAME?</v>
      </c>
      <c r="T15" s="482" t="e">
        <f t="shared" ca="1" si="7"/>
        <v>#NAME?</v>
      </c>
      <c r="U15" s="482" t="e">
        <f ca="1">U13-U14</f>
        <v>#NAME?</v>
      </c>
      <c r="V15" s="482" t="e">
        <f ca="1">V13-V14</f>
        <v>#NAME?</v>
      </c>
      <c r="W15" s="482" t="e">
        <f t="shared" ref="W15:AF15" ca="1" si="8">W13-W14</f>
        <v>#NAME?</v>
      </c>
      <c r="X15" s="482" t="e">
        <f t="shared" ca="1" si="8"/>
        <v>#NAME?</v>
      </c>
      <c r="Y15" s="482" t="e">
        <f t="shared" ca="1" si="8"/>
        <v>#NAME?</v>
      </c>
      <c r="Z15" s="482" t="e">
        <f t="shared" ca="1" si="8"/>
        <v>#NAME?</v>
      </c>
      <c r="AA15" s="482" t="e">
        <f t="shared" ca="1" si="8"/>
        <v>#NAME?</v>
      </c>
      <c r="AB15" s="482" t="e">
        <f t="shared" ca="1" si="8"/>
        <v>#NAME?</v>
      </c>
      <c r="AC15" s="482" t="e">
        <f t="shared" ca="1" si="8"/>
        <v>#NAME?</v>
      </c>
      <c r="AD15" s="482" t="e">
        <f t="shared" ca="1" si="8"/>
        <v>#NAME?</v>
      </c>
      <c r="AE15" s="482" t="e">
        <f t="shared" ca="1" si="8"/>
        <v>#NAME?</v>
      </c>
      <c r="AF15" s="482" t="e">
        <f t="shared" ca="1" si="8"/>
        <v>#NAME?</v>
      </c>
    </row>
    <row r="16" spans="1:39">
      <c r="A16" s="483" t="s">
        <v>271</v>
      </c>
      <c r="U16" s="482" t="s">
        <v>330</v>
      </c>
    </row>
    <row r="17" spans="1:39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I17" s="558"/>
      <c r="AL17" s="482">
        <v>0</v>
      </c>
    </row>
    <row r="18" spans="1:39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9">U18+1</f>
        <v>201502</v>
      </c>
      <c r="W18" s="484">
        <f t="shared" si="9"/>
        <v>201503</v>
      </c>
      <c r="X18" s="484">
        <f t="shared" si="9"/>
        <v>201504</v>
      </c>
      <c r="Y18" s="484">
        <f t="shared" si="9"/>
        <v>201505</v>
      </c>
      <c r="Z18" s="484">
        <f t="shared" si="9"/>
        <v>201506</v>
      </c>
      <c r="AA18" s="484">
        <f t="shared" si="9"/>
        <v>201507</v>
      </c>
      <c r="AB18" s="484">
        <f t="shared" si="9"/>
        <v>201508</v>
      </c>
      <c r="AC18" s="484">
        <f t="shared" si="9"/>
        <v>201509</v>
      </c>
      <c r="AD18" s="484">
        <f t="shared" si="9"/>
        <v>201510</v>
      </c>
      <c r="AE18" s="484">
        <f t="shared" si="9"/>
        <v>201511</v>
      </c>
      <c r="AF18" s="484">
        <f t="shared" si="9"/>
        <v>201512</v>
      </c>
      <c r="AI18" s="558"/>
    </row>
    <row r="19" spans="1:39">
      <c r="A19" s="483"/>
      <c r="B19" s="481" t="s">
        <v>37</v>
      </c>
      <c r="C19" s="491">
        <f>SUM(U19:AF19)</f>
        <v>39097164</v>
      </c>
      <c r="D19" s="491">
        <f>SUM(F19:Q19)</f>
        <v>56675951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f>Jan!$K36</f>
        <v>8991869</v>
      </c>
      <c r="V19" s="491">
        <f>Feb!$K36</f>
        <v>5607449</v>
      </c>
      <c r="W19" s="491">
        <f>Mar!$K36</f>
        <v>5090227</v>
      </c>
      <c r="X19" s="491">
        <f>Apr!$K36</f>
        <v>3621515</v>
      </c>
      <c r="Y19" s="491">
        <f>May!$K36</f>
        <v>1624041</v>
      </c>
      <c r="Z19" s="491">
        <f>Jun!$K36</f>
        <v>985347</v>
      </c>
      <c r="AA19" s="491">
        <f>Jul!$K36</f>
        <v>990038</v>
      </c>
      <c r="AB19" s="491">
        <f>Aug!$K36</f>
        <v>930531</v>
      </c>
      <c r="AC19" s="491">
        <f>Sep!$K36</f>
        <v>1531464</v>
      </c>
      <c r="AD19" s="491">
        <f>Oct!$K36</f>
        <v>2476612</v>
      </c>
      <c r="AE19" s="491">
        <f>Nov!$K36</f>
        <v>7248071</v>
      </c>
      <c r="AF19" s="491">
        <f>Dec!$K36</f>
        <v>0</v>
      </c>
      <c r="AG19" s="491"/>
    </row>
    <row r="20" spans="1:39">
      <c r="A20" s="483"/>
      <c r="B20" s="481" t="s">
        <v>38</v>
      </c>
      <c r="C20" s="491">
        <f t="shared" ref="C20:C24" si="10">SUM(U20:AF20)</f>
        <v>18037646</v>
      </c>
      <c r="D20" s="491">
        <f>SUM(F20:Q20)</f>
        <v>22466066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f>Jan!$K37</f>
        <v>2818068</v>
      </c>
      <c r="V20" s="491">
        <f>Feb!$K37</f>
        <v>2333245</v>
      </c>
      <c r="W20" s="491">
        <f>Mar!$K37</f>
        <v>1927746</v>
      </c>
      <c r="X20" s="491">
        <f>Apr!$K37</f>
        <v>1633221</v>
      </c>
      <c r="Y20" s="491">
        <f>May!$K37</f>
        <v>1075904</v>
      </c>
      <c r="Z20" s="491">
        <f>Jun!$K37</f>
        <v>1089173</v>
      </c>
      <c r="AA20" s="491">
        <f>Jul!$K37</f>
        <v>964252</v>
      </c>
      <c r="AB20" s="491">
        <f>Aug!$K37</f>
        <v>1322423</v>
      </c>
      <c r="AC20" s="491">
        <f>Sep!$K37</f>
        <v>1101192</v>
      </c>
      <c r="AD20" s="491">
        <f>Oct!$K37</f>
        <v>1392647</v>
      </c>
      <c r="AE20" s="491">
        <f>Nov!$K37</f>
        <v>2379775</v>
      </c>
      <c r="AF20" s="491">
        <f>Dec!$K37</f>
        <v>0</v>
      </c>
      <c r="AG20" s="491"/>
    </row>
    <row r="21" spans="1:39" hidden="1">
      <c r="A21" s="483"/>
      <c r="B21" s="481" t="s">
        <v>39</v>
      </c>
      <c r="C21" s="491">
        <f t="shared" si="10"/>
        <v>0</v>
      </c>
      <c r="D21" s="491">
        <f>SUM(G21:R21)</f>
        <v>0</v>
      </c>
      <c r="E21" s="491"/>
      <c r="F21" s="491"/>
      <c r="G21" s="491"/>
      <c r="H21" s="491"/>
    </row>
    <row r="22" spans="1:39" hidden="1">
      <c r="A22" s="483"/>
      <c r="B22" s="481" t="s">
        <v>40</v>
      </c>
      <c r="C22" s="491">
        <f t="shared" si="10"/>
        <v>0</v>
      </c>
      <c r="D22" s="491">
        <f>SUM(G22:R22)</f>
        <v>0</v>
      </c>
      <c r="E22" s="491"/>
      <c r="F22" s="491"/>
      <c r="G22" s="491"/>
      <c r="H22" s="491"/>
    </row>
    <row r="23" spans="1:39" hidden="1">
      <c r="A23" s="483"/>
      <c r="B23" s="481" t="s">
        <v>41</v>
      </c>
      <c r="C23" s="491">
        <f t="shared" si="10"/>
        <v>0</v>
      </c>
      <c r="D23" s="491">
        <f>SUM(G23:R23)</f>
        <v>0</v>
      </c>
      <c r="E23" s="491"/>
      <c r="F23" s="491"/>
      <c r="G23" s="491"/>
      <c r="H23" s="491"/>
    </row>
    <row r="24" spans="1:39">
      <c r="A24" s="483"/>
      <c r="B24" s="481" t="s">
        <v>42</v>
      </c>
      <c r="C24" s="491">
        <f t="shared" si="10"/>
        <v>0</v>
      </c>
      <c r="D24" s="491">
        <f>SUM(F24:Q24)</f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f>Jan!$K41</f>
        <v>0</v>
      </c>
      <c r="V24" s="491">
        <f>Feb!$K41</f>
        <v>0</v>
      </c>
      <c r="W24" s="491">
        <f>Mar!$K41</f>
        <v>0</v>
      </c>
      <c r="X24" s="491">
        <f>Apr!$K41</f>
        <v>0</v>
      </c>
      <c r="Y24" s="491">
        <f>May!$K41</f>
        <v>0</v>
      </c>
      <c r="Z24" s="491">
        <f>Jun!$K41</f>
        <v>0</v>
      </c>
      <c r="AA24" s="491">
        <f>Jul!$K41</f>
        <v>0</v>
      </c>
      <c r="AB24" s="491">
        <f>Aug!$K41</f>
        <v>0</v>
      </c>
      <c r="AC24" s="491">
        <f>Sep!$K41</f>
        <v>0</v>
      </c>
      <c r="AD24" s="491">
        <f>Oct!$K41</f>
        <v>0</v>
      </c>
      <c r="AE24" s="491">
        <f>Nov!$K41</f>
        <v>0</v>
      </c>
      <c r="AF24" s="491">
        <f>Dec!$K41</f>
        <v>0</v>
      </c>
      <c r="AG24" s="491"/>
    </row>
    <row r="25" spans="1:39" hidden="1">
      <c r="A25" s="483"/>
      <c r="B25" s="481" t="s">
        <v>43</v>
      </c>
      <c r="C25" s="491">
        <f t="shared" ref="C25:C26" si="11">SUM(I25:T25)</f>
        <v>0</v>
      </c>
      <c r="D25" s="491">
        <f>SUM(G25:R25)</f>
        <v>0</v>
      </c>
      <c r="E25" s="491"/>
      <c r="F25" s="491"/>
      <c r="G25" s="491"/>
      <c r="H25" s="491"/>
    </row>
    <row r="26" spans="1:39" hidden="1">
      <c r="A26" s="483"/>
      <c r="B26" s="481" t="s">
        <v>74</v>
      </c>
      <c r="C26" s="491">
        <f t="shared" si="11"/>
        <v>0</v>
      </c>
      <c r="D26" s="491">
        <f>SUM(G26:R26)</f>
        <v>0</v>
      </c>
      <c r="E26" s="491"/>
      <c r="F26" s="491"/>
      <c r="G26" s="491"/>
      <c r="H26" s="491"/>
    </row>
    <row r="27" spans="1:39" ht="16" thickBot="1">
      <c r="A27" s="483"/>
      <c r="B27" s="481" t="s">
        <v>21</v>
      </c>
      <c r="C27" s="542">
        <f>SUM(U27:AF27)</f>
        <v>57134810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2">SUM(G19:G26)</f>
        <v>9508099</v>
      </c>
      <c r="H27" s="542">
        <f t="shared" si="12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F27" si="13">SUM(U19:U26)</f>
        <v>11809937</v>
      </c>
      <c r="V27" s="542">
        <f t="shared" si="13"/>
        <v>7940694</v>
      </c>
      <c r="W27" s="542">
        <f t="shared" si="13"/>
        <v>7017973</v>
      </c>
      <c r="X27" s="542">
        <f t="shared" si="13"/>
        <v>5254736</v>
      </c>
      <c r="Y27" s="542">
        <f t="shared" si="13"/>
        <v>2699945</v>
      </c>
      <c r="Z27" s="542">
        <f t="shared" si="13"/>
        <v>2074520</v>
      </c>
      <c r="AA27" s="542">
        <f t="shared" si="13"/>
        <v>1954290</v>
      </c>
      <c r="AB27" s="542">
        <f t="shared" si="13"/>
        <v>2252954</v>
      </c>
      <c r="AC27" s="542">
        <f t="shared" si="13"/>
        <v>2632656</v>
      </c>
      <c r="AD27" s="542">
        <f t="shared" si="13"/>
        <v>3869259</v>
      </c>
      <c r="AE27" s="542">
        <f t="shared" si="13"/>
        <v>9627846</v>
      </c>
      <c r="AF27" s="542">
        <f t="shared" si="13"/>
        <v>0</v>
      </c>
    </row>
    <row r="28" spans="1:39" ht="16" thickTop="1">
      <c r="A28" s="483"/>
      <c r="B28" s="481" t="s">
        <v>269</v>
      </c>
      <c r="C28" s="491">
        <f>SUM(U28:AF28)</f>
        <v>32023340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/>
      <c r="Z28" s="491"/>
      <c r="AA28" s="543"/>
      <c r="AB28" s="543"/>
      <c r="AC28" s="543"/>
      <c r="AD28" s="543"/>
      <c r="AE28" s="543"/>
      <c r="AF28" s="543"/>
    </row>
    <row r="29" spans="1:39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</row>
    <row r="30" spans="1:39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4">U30+1</f>
        <v>201502</v>
      </c>
      <c r="W30" s="484">
        <f t="shared" si="14"/>
        <v>201503</v>
      </c>
      <c r="X30" s="484">
        <f t="shared" si="14"/>
        <v>201504</v>
      </c>
      <c r="Y30" s="484">
        <f t="shared" si="14"/>
        <v>201505</v>
      </c>
      <c r="Z30" s="484">
        <f t="shared" si="14"/>
        <v>201506</v>
      </c>
      <c r="AA30" s="484">
        <f t="shared" si="14"/>
        <v>201507</v>
      </c>
      <c r="AB30" s="484">
        <f t="shared" si="14"/>
        <v>201508</v>
      </c>
      <c r="AC30" s="484">
        <f t="shared" si="14"/>
        <v>201509</v>
      </c>
      <c r="AD30" s="484">
        <f t="shared" si="14"/>
        <v>201510</v>
      </c>
      <c r="AE30" s="484">
        <f t="shared" si="14"/>
        <v>201511</v>
      </c>
      <c r="AF30" s="484">
        <f t="shared" si="14"/>
        <v>201512</v>
      </c>
    </row>
    <row r="31" spans="1:39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270</v>
      </c>
      <c r="AF31" s="492" t="s">
        <v>270</v>
      </c>
      <c r="AH31" s="707"/>
      <c r="AI31" s="708"/>
      <c r="AJ31" s="708"/>
      <c r="AK31" s="708"/>
      <c r="AL31" s="708"/>
      <c r="AM31" s="564"/>
    </row>
    <row r="32" spans="1:39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270</v>
      </c>
      <c r="AF32" s="492" t="s">
        <v>270</v>
      </c>
      <c r="AH32" s="708"/>
      <c r="AI32" s="708"/>
      <c r="AJ32" s="708"/>
      <c r="AK32" s="708"/>
      <c r="AL32" s="708"/>
    </row>
    <row r="33" spans="1:39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H33" s="708"/>
      <c r="AI33" s="708"/>
      <c r="AJ33" s="708"/>
      <c r="AK33" s="708"/>
      <c r="AL33" s="708"/>
    </row>
    <row r="34" spans="1:39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H34" s="708"/>
      <c r="AI34" s="708"/>
      <c r="AJ34" s="708"/>
      <c r="AK34" s="708"/>
      <c r="AL34" s="708"/>
    </row>
    <row r="35" spans="1:39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H35" s="708"/>
      <c r="AI35" s="708"/>
      <c r="AJ35" s="708"/>
      <c r="AK35" s="708"/>
      <c r="AL35" s="708"/>
    </row>
    <row r="36" spans="1:39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270</v>
      </c>
      <c r="AF36" s="492" t="s">
        <v>270</v>
      </c>
      <c r="AH36" s="708"/>
      <c r="AI36" s="708"/>
      <c r="AJ36" s="708"/>
      <c r="AK36" s="708"/>
      <c r="AL36" s="708"/>
    </row>
    <row r="37" spans="1:39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</row>
    <row r="38" spans="1:39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</row>
    <row r="39" spans="1:39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H39" s="564"/>
    </row>
    <row r="40" spans="1:39" s="483" customFormat="1" ht="16" thickBot="1">
      <c r="A40" s="536">
        <v>191000</v>
      </c>
      <c r="B40" s="485" t="s">
        <v>256</v>
      </c>
      <c r="C40" s="486" t="s">
        <v>251</v>
      </c>
      <c r="D40" s="679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5">U40+1</f>
        <v>201502</v>
      </c>
      <c r="W40" s="484">
        <f t="shared" si="15"/>
        <v>201503</v>
      </c>
      <c r="X40" s="484">
        <f t="shared" si="15"/>
        <v>201504</v>
      </c>
      <c r="Y40" s="484">
        <f t="shared" si="15"/>
        <v>201505</v>
      </c>
      <c r="Z40" s="484">
        <f t="shared" si="15"/>
        <v>201506</v>
      </c>
      <c r="AA40" s="484">
        <f t="shared" si="15"/>
        <v>201507</v>
      </c>
      <c r="AB40" s="484">
        <f t="shared" si="15"/>
        <v>201508</v>
      </c>
      <c r="AC40" s="484">
        <f t="shared" si="15"/>
        <v>201509</v>
      </c>
      <c r="AD40" s="484">
        <f t="shared" si="15"/>
        <v>201510</v>
      </c>
      <c r="AE40" s="484">
        <f t="shared" si="15"/>
        <v>201511</v>
      </c>
      <c r="AF40" s="484">
        <f t="shared" si="15"/>
        <v>201512</v>
      </c>
      <c r="AH40" s="564"/>
      <c r="AI40" s="484"/>
    </row>
    <row r="41" spans="1:39" s="483" customFormat="1" ht="16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H41" s="513">
        <f>AH4</f>
        <v>201504</v>
      </c>
      <c r="AI41" s="526"/>
      <c r="AJ41" s="514"/>
      <c r="AK41" s="514"/>
      <c r="AL41" s="514"/>
      <c r="AM41" s="515"/>
    </row>
    <row r="42" spans="1:39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f>T47</f>
        <v>-1737468.3702166961</v>
      </c>
      <c r="V42" s="482">
        <f>U47</f>
        <v>-1379625.346046696</v>
      </c>
      <c r="W42" s="482">
        <f t="shared" ref="W42:AE42" si="16">V47</f>
        <v>-1139196.8415066958</v>
      </c>
      <c r="X42" s="482">
        <f t="shared" si="16"/>
        <v>-927936.74257669575</v>
      </c>
      <c r="Y42" s="482">
        <f t="shared" si="16"/>
        <v>-767403.9580847763</v>
      </c>
      <c r="Z42" s="482">
        <f t="shared" si="16"/>
        <v>-685903.92338007619</v>
      </c>
      <c r="AA42" s="482">
        <f t="shared" si="16"/>
        <v>-623363.07088572613</v>
      </c>
      <c r="AB42" s="482">
        <f t="shared" si="16"/>
        <v>-564427.81872858922</v>
      </c>
      <c r="AC42" s="482">
        <f t="shared" si="16"/>
        <v>-496357.29729955469</v>
      </c>
      <c r="AD42" s="482">
        <f t="shared" si="16"/>
        <v>-416678.50147523766</v>
      </c>
      <c r="AE42" s="482">
        <f t="shared" si="16"/>
        <v>-299312.54063388787</v>
      </c>
      <c r="AF42" s="482">
        <f>AE47</f>
        <v>-299561.96775108279</v>
      </c>
      <c r="AH42" s="497" t="s">
        <v>308</v>
      </c>
      <c r="AI42" s="527">
        <v>419600</v>
      </c>
      <c r="AJ42" s="498" t="s">
        <v>288</v>
      </c>
      <c r="AK42" s="498" t="s">
        <v>291</v>
      </c>
      <c r="AL42" s="519">
        <v>0</v>
      </c>
      <c r="AM42" s="520">
        <f>IF(SUMIF(U40:AF40,AH41,U44:AF44)&gt;0,SUMIF(U40:AF40,AH41,U44:AF44),0)</f>
        <v>0</v>
      </c>
    </row>
    <row r="43" spans="1:39">
      <c r="B43" s="481" t="s">
        <v>23</v>
      </c>
      <c r="C43" s="482">
        <f>SUM(U43:AF43)</f>
        <v>1444686.7752400001</v>
      </c>
      <c r="D43" s="491">
        <f>SUM(F43:Q43)</f>
        <v>-10808.645800000002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17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Z43" si="18">SUMPRODUCT(V19:V26,V31:V38)</f>
        <v>241476.50453999999</v>
      </c>
      <c r="W43" s="482">
        <f t="shared" si="18"/>
        <v>213416.55893</v>
      </c>
      <c r="X43" s="482">
        <f t="shared" si="18"/>
        <v>159796.52176</v>
      </c>
      <c r="Y43" s="482">
        <f t="shared" si="18"/>
        <v>82105.327449999997</v>
      </c>
      <c r="Z43" s="482">
        <f t="shared" si="18"/>
        <v>63086.153200000001</v>
      </c>
      <c r="AA43" s="482">
        <f>SUMPRODUCT(AA19:AA26,AA31:AA38)</f>
        <v>59429.958899999998</v>
      </c>
      <c r="AB43" s="482">
        <f t="shared" ref="AB43:AD43" si="19">SUMPRODUCT(AB19:AB26,AB31:AB38)</f>
        <v>68512.331139999995</v>
      </c>
      <c r="AC43" s="482">
        <f t="shared" si="19"/>
        <v>80059.068960000004</v>
      </c>
      <c r="AD43" s="482">
        <f t="shared" si="19"/>
        <v>117664.16618999999</v>
      </c>
      <c r="AE43" s="563"/>
      <c r="AF43" s="563"/>
      <c r="AH43" s="499" t="s">
        <v>309</v>
      </c>
      <c r="AI43" s="528">
        <v>431600</v>
      </c>
      <c r="AJ43" s="358" t="s">
        <v>288</v>
      </c>
      <c r="AK43" s="358" t="s">
        <v>291</v>
      </c>
      <c r="AL43" s="381">
        <f>IF(SUMIF(U40:AF40,AH41,U44:AF44)&lt;0,-SUMIF(U40:AF40,AH41,U44:AF44),0)</f>
        <v>705.49726808057983</v>
      </c>
      <c r="AM43" s="500">
        <v>0</v>
      </c>
    </row>
    <row r="44" spans="1:39">
      <c r="B44" s="481" t="s">
        <v>4</v>
      </c>
      <c r="C44" s="482">
        <f t="shared" ref="C44:C46" si="20">SUM(U44:AF44)</f>
        <v>-7174.6277475130237</v>
      </c>
      <c r="D44" s="491">
        <f>SUM(F44:Q44)</f>
        <v>1068.3629816064952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f>(((X42+X46)*(X41/12))+((X43/2)*(X41/12)))</f>
        <v>-705.49726808057983</v>
      </c>
      <c r="Y44" s="489">
        <f t="shared" ref="Y44:AD44" si="21">((Y42*(Y41/12))+((Y43/2)*(Y41/12)))</f>
        <v>-605.29274529981353</v>
      </c>
      <c r="Z44" s="489">
        <f t="shared" si="21"/>
        <v>-545.30070565006349</v>
      </c>
      <c r="AA44" s="489">
        <f t="shared" si="21"/>
        <v>-494.70674286310515</v>
      </c>
      <c r="AB44" s="489">
        <f t="shared" si="21"/>
        <v>-441.80971096549104</v>
      </c>
      <c r="AC44" s="489">
        <f t="shared" si="21"/>
        <v>-380.27313568296228</v>
      </c>
      <c r="AD44" s="489">
        <f t="shared" si="21"/>
        <v>-298.20534865019806</v>
      </c>
      <c r="AE44" s="560">
        <f>((AE42+AE45)*(AE41/12))+(((AE43+AE46)/2)*(AE41/12))</f>
        <v>-249.42711719490657</v>
      </c>
      <c r="AF44" s="560">
        <f t="shared" ref="AF44" si="22">((AF42*(AF41/12))+((AF43/2)*(AF41/12)))</f>
        <v>-249.63497312590235</v>
      </c>
      <c r="AH44" s="499" t="s">
        <v>310</v>
      </c>
      <c r="AI44" s="528">
        <v>191000</v>
      </c>
      <c r="AJ44" s="358" t="s">
        <v>288</v>
      </c>
      <c r="AK44" s="358" t="s">
        <v>291</v>
      </c>
      <c r="AL44" s="381">
        <f>IF((SUMIF(U40:AF40,AH41,U43:AF43)+SUMIF(U40:AF40,AH41,U44:AF44))&gt;0,(SUMIF(U40:AF40,AH41,U43:AF43)+SUMIF(U40:AF40,AH41,U44:AF44)),0)</f>
        <v>159091.02449191944</v>
      </c>
      <c r="AM44" s="500">
        <f>IF((SUMIF(U40:AF40,AH41,U43:AF43)+SUMIF(U40:AF40,AH41,U44:AF44))&lt;0,-(SUMIF(U40:AF40,AH41,U43:AF43)+SUMIF(U40:AF40,AH41,U44:AF44)),0)</f>
        <v>0</v>
      </c>
    </row>
    <row r="45" spans="1:39">
      <c r="B45" s="481" t="s">
        <v>259</v>
      </c>
      <c r="C45" s="482">
        <f t="shared" si="20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63">
        <f>-AE9-AE10-AE11</f>
        <v>0</v>
      </c>
      <c r="AF45" s="563">
        <v>0</v>
      </c>
      <c r="AH45" s="499" t="s">
        <v>311</v>
      </c>
      <c r="AI45" s="528">
        <v>805110</v>
      </c>
      <c r="AJ45" s="358" t="s">
        <v>288</v>
      </c>
      <c r="AK45" s="358" t="s">
        <v>291</v>
      </c>
      <c r="AL45" s="381">
        <f>IF((SUMIF(U40:AF40,AH41,U43:AF43))&lt;0,-(SUMIF(U40:AF40,AH41,U43:AF43)),0)</f>
        <v>0</v>
      </c>
      <c r="AM45" s="500">
        <f>IF((SUMIF(U40:AF40,AH41,U43:AF43))&gt;0,(SUMIF(U40:AF40,AH41,U43:AF43)),0)</f>
        <v>159796.52176</v>
      </c>
    </row>
    <row r="46" spans="1:39">
      <c r="B46" s="481" t="s">
        <v>148</v>
      </c>
      <c r="C46" s="482">
        <f t="shared" si="20"/>
        <v>144.61999999999989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63"/>
      <c r="AF46" s="563">
        <f>-AE46*2</f>
        <v>0</v>
      </c>
      <c r="AH46" s="499" t="s">
        <v>156</v>
      </c>
      <c r="AI46" s="528">
        <f t="shared" ref="AI46:AK47" si="23">AI44</f>
        <v>191000</v>
      </c>
      <c r="AJ46" s="528" t="str">
        <f t="shared" si="23"/>
        <v>GD</v>
      </c>
      <c r="AK46" s="528" t="str">
        <f t="shared" si="23"/>
        <v>ID</v>
      </c>
      <c r="AL46" s="381">
        <v>0</v>
      </c>
      <c r="AM46" s="500"/>
    </row>
    <row r="47" spans="1:39" ht="16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24">SUM(F42:F46)</f>
        <v>122203.74560073584</v>
      </c>
      <c r="G47" s="541">
        <f t="shared" si="24"/>
        <v>121907.05607206978</v>
      </c>
      <c r="H47" s="541">
        <f t="shared" si="24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F47" si="25">SUM(V42:V46)</f>
        <v>-1139196.8415066958</v>
      </c>
      <c r="W47" s="541">
        <f t="shared" si="25"/>
        <v>-927936.74257669575</v>
      </c>
      <c r="X47" s="541">
        <f t="shared" si="25"/>
        <v>-767403.9580847763</v>
      </c>
      <c r="Y47" s="541">
        <f t="shared" si="25"/>
        <v>-685903.92338007619</v>
      </c>
      <c r="Z47" s="541">
        <f t="shared" si="25"/>
        <v>-623363.07088572613</v>
      </c>
      <c r="AA47" s="541">
        <f t="shared" si="25"/>
        <v>-564427.81872858922</v>
      </c>
      <c r="AB47" s="541">
        <f t="shared" si="25"/>
        <v>-496357.29729955469</v>
      </c>
      <c r="AC47" s="541">
        <f t="shared" si="25"/>
        <v>-416678.50147523766</v>
      </c>
      <c r="AD47" s="541">
        <f t="shared" si="25"/>
        <v>-299312.54063388787</v>
      </c>
      <c r="AE47" s="541">
        <f t="shared" si="25"/>
        <v>-299561.96775108279</v>
      </c>
      <c r="AF47" s="541">
        <f t="shared" si="25"/>
        <v>-299811.60272420867</v>
      </c>
      <c r="AH47" s="501" t="str">
        <f>AH46</f>
        <v>Large Customer Refund</v>
      </c>
      <c r="AI47" s="529">
        <f t="shared" si="23"/>
        <v>805110</v>
      </c>
      <c r="AJ47" s="529" t="str">
        <f t="shared" si="23"/>
        <v>GD</v>
      </c>
      <c r="AK47" s="529" t="str">
        <f t="shared" si="23"/>
        <v>ID</v>
      </c>
      <c r="AL47" s="503"/>
      <c r="AM47" s="521">
        <v>0</v>
      </c>
    </row>
    <row r="48" spans="1:39" ht="16.5" thickTop="1" thickBot="1">
      <c r="B48" s="481" t="s">
        <v>260</v>
      </c>
      <c r="E48" s="482" t="e">
        <f ca="1">_xll.Get_Balance(E40,"YTD","USD","Total","A","","001",$A$40,"GD","ID","DL")</f>
        <v>#NAME?</v>
      </c>
      <c r="F48" s="482" t="e">
        <f ca="1">_xll.Get_Balance(F40,"YTD","USD","Total","A","","001",$A$40,"GD","ID","DL")</f>
        <v>#NAME?</v>
      </c>
      <c r="G48" s="482" t="e">
        <f ca="1">_xll.Get_Balance(G40,"YTD","USD","Total","A","","001",$A$40,"GD","ID","DL")</f>
        <v>#NAME?</v>
      </c>
      <c r="H48" s="482" t="e">
        <f ca="1">_xll.Get_Balance(H40,"YTD","USD","Total","A","","001",$A$40,"GD","ID","DL")</f>
        <v>#NAME?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 t="e">
        <f ca="1">_xll.Get_Balance(S40,"YTD","USD","Total","A","","001",$A$40,"GD","ID","DL")</f>
        <v>#NAME?</v>
      </c>
      <c r="T48" s="482" t="e">
        <f ca="1">_xll.Get_Balance(T40,"YTD","USD","Total","A","","001",$A$40,"GD","ID","DL")</f>
        <v>#NAME?</v>
      </c>
      <c r="U48" s="482" t="e">
        <f ca="1">_xll.Get_Balance(U40,"YTD","USD","Total","A","","001",$A$40,"GD","ID","DL")</f>
        <v>#NAME?</v>
      </c>
      <c r="V48" s="482" t="e">
        <f ca="1">_xll.Get_Balance(V40,"YTD","USD","Total","A","","001",$A$40,"GD","ID","DL")</f>
        <v>#NAME?</v>
      </c>
      <c r="W48" s="482" t="e">
        <f ca="1">_xll.Get_Balance(W40,"YTD","USD","Total","A","","001",$A$40,"GD","ID","DL")</f>
        <v>#NAME?</v>
      </c>
      <c r="X48" s="482" t="e">
        <f ca="1">_xll.Get_Balance(X40,"YTD","USD","Total","A","","001",$A$40,"GD","ID","DL")</f>
        <v>#NAME?</v>
      </c>
      <c r="Y48" s="482" t="e">
        <f ca="1">_xll.Get_Balance(Y40,"YTD","USD","Total","A","","001",$A$40,"GD","ID","DL")</f>
        <v>#NAME?</v>
      </c>
      <c r="Z48" s="482" t="e">
        <f ca="1">_xll.Get_Balance(Z40,"YTD","USD","Total","A","","001",$A$40,"GD","ID","DL")</f>
        <v>#NAME?</v>
      </c>
      <c r="AA48" s="482" t="e">
        <f ca="1">_xll.Get_Balance(AA40,"YTD","USD","Total","A","","001",$A$40,"GD","ID","DL")</f>
        <v>#NAME?</v>
      </c>
      <c r="AB48" s="482" t="e">
        <f ca="1">_xll.Get_Balance(AB40,"YTD","USD","Total","A","","001",$A$40,"GD","ID","DL")</f>
        <v>#NAME?</v>
      </c>
      <c r="AC48" s="482" t="e">
        <f ca="1">_xll.Get_Balance(AC40,"YTD","USD","Total","A","","001",$A$40,"GD","ID","DL")</f>
        <v>#NAME?</v>
      </c>
      <c r="AD48" s="482" t="e">
        <f ca="1">_xll.Get_Balance(AD40,"YTD","USD","Total","A","","001",$A$40,"GD","ID","DL")</f>
        <v>#NAME?</v>
      </c>
      <c r="AE48" s="482" t="e">
        <f ca="1">_xll.Get_Balance(AE40,"YTD","USD","Total","A","","001",$A$40,"GD","ID","DL")</f>
        <v>#NAME?</v>
      </c>
      <c r="AF48" s="482" t="e">
        <f ca="1">_xll.Get_Balance(AF40,"YTD","USD","Total","A","","001",$A$40,"GD","ID","DL")</f>
        <v>#NAME?</v>
      </c>
      <c r="AH48" s="516"/>
      <c r="AI48" s="530"/>
      <c r="AJ48" s="517"/>
      <c r="AK48" s="517"/>
      <c r="AL48" s="517" t="s">
        <v>159</v>
      </c>
      <c r="AM48" s="518">
        <f>SUM(AL42:AL47)-SUM(AM42:AM47)</f>
        <v>0</v>
      </c>
    </row>
    <row r="49" spans="1:33">
      <c r="B49" s="481" t="s">
        <v>245</v>
      </c>
      <c r="E49" s="482" t="e">
        <f t="shared" ref="E49:H49" ca="1" si="26">E47-E48</f>
        <v>#NAME?</v>
      </c>
      <c r="F49" s="482" t="e">
        <f t="shared" ca="1" si="26"/>
        <v>#NAME?</v>
      </c>
      <c r="G49" s="482" t="e">
        <f t="shared" ca="1" si="26"/>
        <v>#NAME?</v>
      </c>
      <c r="H49" s="482" t="e">
        <f t="shared" ca="1" si="26"/>
        <v>#NAME?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 t="e">
        <f ca="1">S47-S48</f>
        <v>#NAME?</v>
      </c>
      <c r="T49" s="482" t="e">
        <f ca="1">T47-T48</f>
        <v>#NAME?</v>
      </c>
      <c r="U49" s="482" t="e">
        <f ca="1">U47-U48</f>
        <v>#NAME?</v>
      </c>
      <c r="V49" s="482" t="e">
        <f t="shared" ref="V49:AG49" ca="1" si="27">V47-V48</f>
        <v>#NAME?</v>
      </c>
      <c r="W49" s="482" t="e">
        <f t="shared" ca="1" si="27"/>
        <v>#NAME?</v>
      </c>
      <c r="X49" s="482" t="e">
        <f t="shared" ca="1" si="27"/>
        <v>#NAME?</v>
      </c>
      <c r="Y49" s="482" t="e">
        <f t="shared" ca="1" si="27"/>
        <v>#NAME?</v>
      </c>
      <c r="Z49" s="482" t="e">
        <f t="shared" ca="1" si="27"/>
        <v>#NAME?</v>
      </c>
      <c r="AA49" s="482" t="e">
        <f t="shared" ca="1" si="27"/>
        <v>#NAME?</v>
      </c>
      <c r="AB49" s="482" t="e">
        <f t="shared" ca="1" si="27"/>
        <v>#NAME?</v>
      </c>
      <c r="AC49" s="482" t="e">
        <f t="shared" ca="1" si="27"/>
        <v>#NAME?</v>
      </c>
      <c r="AD49" s="482" t="e">
        <f t="shared" ca="1" si="27"/>
        <v>#NAME?</v>
      </c>
      <c r="AE49" s="482" t="e">
        <f t="shared" ca="1" si="27"/>
        <v>#NAME?</v>
      </c>
      <c r="AF49" s="482" t="e">
        <f t="shared" ca="1" si="27"/>
        <v>#NAME?</v>
      </c>
      <c r="AG49" s="482">
        <f t="shared" si="27"/>
        <v>0</v>
      </c>
    </row>
    <row r="50" spans="1:33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</row>
    <row r="51" spans="1:33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28">U51+1</f>
        <v>201502</v>
      </c>
      <c r="W51" s="484">
        <f t="shared" si="28"/>
        <v>201503</v>
      </c>
      <c r="X51" s="484">
        <f t="shared" si="28"/>
        <v>201504</v>
      </c>
      <c r="Y51" s="484">
        <f t="shared" si="28"/>
        <v>201505</v>
      </c>
      <c r="Z51" s="484">
        <f t="shared" si="28"/>
        <v>201506</v>
      </c>
      <c r="AA51" s="484">
        <f t="shared" si="28"/>
        <v>201507</v>
      </c>
      <c r="AB51" s="484">
        <f t="shared" si="28"/>
        <v>201508</v>
      </c>
      <c r="AC51" s="484">
        <f t="shared" si="28"/>
        <v>201509</v>
      </c>
      <c r="AD51" s="484">
        <f t="shared" si="28"/>
        <v>201510</v>
      </c>
      <c r="AE51" s="484">
        <f t="shared" si="28"/>
        <v>201511</v>
      </c>
      <c r="AF51" s="484">
        <f t="shared" si="28"/>
        <v>201512</v>
      </c>
    </row>
    <row r="52" spans="1:33">
      <c r="A52" s="483"/>
      <c r="B52" s="481" t="s">
        <v>37</v>
      </c>
      <c r="C52" s="491">
        <f>SUM(U52:AF52)</f>
        <v>39097164</v>
      </c>
      <c r="D52" s="491">
        <f>SUM(F52:Q52)</f>
        <v>52384687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f>Jan!$K36</f>
        <v>8991869</v>
      </c>
      <c r="V52" s="491">
        <f>Feb!$K36</f>
        <v>5607449</v>
      </c>
      <c r="W52" s="491">
        <f>Mar!$K36</f>
        <v>5090227</v>
      </c>
      <c r="X52" s="491">
        <f>Apr!$K36</f>
        <v>3621515</v>
      </c>
      <c r="Y52" s="491">
        <f>May!$K36</f>
        <v>1624041</v>
      </c>
      <c r="Z52" s="491">
        <f>Jun!$K36</f>
        <v>985347</v>
      </c>
      <c r="AA52" s="491">
        <f>Jul!$K36</f>
        <v>990038</v>
      </c>
      <c r="AB52" s="491">
        <f>Aug!$K36</f>
        <v>930531</v>
      </c>
      <c r="AC52" s="491">
        <f>Sep!$K36</f>
        <v>1531464</v>
      </c>
      <c r="AD52" s="491">
        <f>Oct!$K36</f>
        <v>2476612</v>
      </c>
      <c r="AE52" s="491">
        <f>Nov!$K36</f>
        <v>7248071</v>
      </c>
      <c r="AF52" s="491">
        <f>Dec!$K36</f>
        <v>0</v>
      </c>
      <c r="AG52" s="491">
        <f>Jan!$K36</f>
        <v>8991869</v>
      </c>
    </row>
    <row r="53" spans="1:33">
      <c r="A53" s="483"/>
      <c r="B53" s="481" t="s">
        <v>38</v>
      </c>
      <c r="C53" s="491">
        <f t="shared" ref="C53:C60" si="29">SUM(U53:AF53)</f>
        <v>18037646</v>
      </c>
      <c r="D53" s="491">
        <f>SUM(F53:Q53)</f>
        <v>20863784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f>Jan!$K37</f>
        <v>2818068</v>
      </c>
      <c r="V53" s="491">
        <f>Feb!$K37</f>
        <v>2333245</v>
      </c>
      <c r="W53" s="491">
        <f>Mar!$K37</f>
        <v>1927746</v>
      </c>
      <c r="X53" s="491">
        <f>Apr!$K37</f>
        <v>1633221</v>
      </c>
      <c r="Y53" s="491">
        <f>May!$K37</f>
        <v>1075904</v>
      </c>
      <c r="Z53" s="491">
        <f>Jun!$K37</f>
        <v>1089173</v>
      </c>
      <c r="AA53" s="491">
        <f>Jul!$K37</f>
        <v>964252</v>
      </c>
      <c r="AB53" s="491">
        <f>Aug!$K37</f>
        <v>1322423</v>
      </c>
      <c r="AC53" s="491">
        <f>Sep!$K37</f>
        <v>1101192</v>
      </c>
      <c r="AD53" s="491">
        <f>Oct!$K37</f>
        <v>1392647</v>
      </c>
      <c r="AE53" s="491">
        <f>Nov!$K37</f>
        <v>2379775</v>
      </c>
      <c r="AF53" s="491">
        <f>Dec!$K37</f>
        <v>0</v>
      </c>
      <c r="AG53" s="491">
        <f>Jan!$K37</f>
        <v>2818068</v>
      </c>
    </row>
    <row r="54" spans="1:33">
      <c r="A54" s="483"/>
      <c r="B54" s="481" t="s">
        <v>39</v>
      </c>
      <c r="C54" s="491">
        <f t="shared" si="29"/>
        <v>246353</v>
      </c>
      <c r="D54" s="491">
        <f>SUM(F54:Q54)</f>
        <v>216282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f>Jan!$K38</f>
        <v>2994</v>
      </c>
      <c r="V54" s="491">
        <f>Feb!$K38</f>
        <v>1973</v>
      </c>
      <c r="W54" s="491">
        <f>Mar!$K38</f>
        <v>871</v>
      </c>
      <c r="X54" s="491">
        <f>Apr!$K38</f>
        <v>5610</v>
      </c>
      <c r="Y54" s="491">
        <f>May!$K38</f>
        <v>18173</v>
      </c>
      <c r="Z54" s="491">
        <f>Jun!$K38</f>
        <v>21920</v>
      </c>
      <c r="AA54" s="491">
        <f>Jul!$K38</f>
        <v>28026</v>
      </c>
      <c r="AB54" s="491">
        <f>Aug!$K38</f>
        <v>47622</v>
      </c>
      <c r="AC54" s="491">
        <f>Sep!$K38</f>
        <v>26734</v>
      </c>
      <c r="AD54" s="491">
        <f>Oct!$K38</f>
        <v>68934</v>
      </c>
      <c r="AE54" s="491">
        <f>Nov!$K38</f>
        <v>23496</v>
      </c>
      <c r="AF54" s="491">
        <f>Dec!$K38</f>
        <v>0</v>
      </c>
      <c r="AG54" s="491">
        <f>Jan!$K38</f>
        <v>2994</v>
      </c>
    </row>
    <row r="55" spans="1:33">
      <c r="A55" s="483"/>
      <c r="B55" s="481" t="s">
        <v>40</v>
      </c>
      <c r="C55" s="491">
        <f t="shared" si="29"/>
        <v>0</v>
      </c>
      <c r="D55" s="491">
        <f>SUM(F55:Q55)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f>Jan!$K39</f>
        <v>0</v>
      </c>
      <c r="V55" s="491">
        <f>Feb!$K39</f>
        <v>0</v>
      </c>
      <c r="W55" s="491">
        <f>Mar!$K39</f>
        <v>0</v>
      </c>
      <c r="X55" s="491">
        <f>Apr!$K39</f>
        <v>0</v>
      </c>
      <c r="Y55" s="491">
        <f>May!$K39</f>
        <v>0</v>
      </c>
      <c r="Z55" s="491">
        <f>Jun!$K39</f>
        <v>0</v>
      </c>
      <c r="AA55" s="491">
        <f>Jul!$K39</f>
        <v>0</v>
      </c>
      <c r="AB55" s="491">
        <f>Aug!$K39</f>
        <v>0</v>
      </c>
      <c r="AC55" s="491">
        <f>Sep!$K39</f>
        <v>0</v>
      </c>
      <c r="AD55" s="491">
        <f>Oct!$K39</f>
        <v>0</v>
      </c>
      <c r="AE55" s="491">
        <f>Nov!$K39</f>
        <v>0</v>
      </c>
      <c r="AF55" s="491">
        <f>Dec!$K39</f>
        <v>0</v>
      </c>
      <c r="AG55" s="491">
        <f>Jan!$K39</f>
        <v>0</v>
      </c>
    </row>
    <row r="56" spans="1:33" hidden="1">
      <c r="A56" s="483"/>
      <c r="B56" s="481" t="s">
        <v>41</v>
      </c>
      <c r="C56" s="491">
        <f t="shared" si="29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</row>
    <row r="57" spans="1:33" hidden="1">
      <c r="A57" s="483"/>
      <c r="B57" s="481" t="s">
        <v>42</v>
      </c>
      <c r="C57" s="491">
        <f t="shared" si="29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</row>
    <row r="58" spans="1:33">
      <c r="A58" s="483"/>
      <c r="B58" s="481" t="s">
        <v>43</v>
      </c>
      <c r="C58" s="491">
        <f t="shared" si="29"/>
        <v>148273</v>
      </c>
      <c r="D58" s="491">
        <f>SUM(F58:Q58)</f>
        <v>312916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f>Jan!$K42</f>
        <v>40458</v>
      </c>
      <c r="V58" s="491">
        <f>Feb!$K42</f>
        <v>33212</v>
      </c>
      <c r="W58" s="491">
        <f>Mar!$K42</f>
        <v>33140</v>
      </c>
      <c r="X58" s="491">
        <f>Apr!$K42</f>
        <v>25684</v>
      </c>
      <c r="Y58" s="491">
        <f>May!$K42</f>
        <v>15779</v>
      </c>
      <c r="Z58" s="491">
        <f>Jun!$K42</f>
        <v>0</v>
      </c>
      <c r="AA58" s="491">
        <f>Jul!$K42</f>
        <v>0</v>
      </c>
      <c r="AB58" s="491">
        <f>Aug!$K42</f>
        <v>0</v>
      </c>
      <c r="AC58" s="491">
        <f>Sep!$K42</f>
        <v>0</v>
      </c>
      <c r="AD58" s="491">
        <f>Oct!$K42</f>
        <v>0</v>
      </c>
      <c r="AE58" s="491">
        <f>Nov!$K42</f>
        <v>0</v>
      </c>
      <c r="AF58" s="491">
        <f>Dec!$K42</f>
        <v>0</v>
      </c>
      <c r="AG58" s="491">
        <f>Jan!$K42</f>
        <v>40458</v>
      </c>
    </row>
    <row r="59" spans="1:33" hidden="1">
      <c r="A59" s="483"/>
      <c r="B59" s="481" t="s">
        <v>74</v>
      </c>
      <c r="C59" s="491">
        <f t="shared" ref="C59" si="30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</row>
    <row r="60" spans="1:33" ht="16" thickBot="1">
      <c r="A60" s="483"/>
      <c r="B60" s="481" t="s">
        <v>21</v>
      </c>
      <c r="C60" s="542">
        <f t="shared" si="29"/>
        <v>57529436</v>
      </c>
      <c r="D60" s="542">
        <f>SUM(F60:Q60)</f>
        <v>73777669</v>
      </c>
      <c r="E60" s="542" t="s">
        <v>272</v>
      </c>
      <c r="F60" s="542">
        <f>SUM(F52:F59)</f>
        <v>0</v>
      </c>
      <c r="G60" s="542">
        <f t="shared" ref="G60:H60" si="31">SUM(G52:G59)</f>
        <v>9560411</v>
      </c>
      <c r="H60" s="542">
        <f t="shared" si="31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F60" si="32">SUM(U52:U59)</f>
        <v>11853389</v>
      </c>
      <c r="V60" s="542">
        <f t="shared" si="32"/>
        <v>7975879</v>
      </c>
      <c r="W60" s="542">
        <f t="shared" si="32"/>
        <v>7051984</v>
      </c>
      <c r="X60" s="542">
        <f t="shared" si="32"/>
        <v>5286030</v>
      </c>
      <c r="Y60" s="542">
        <f t="shared" si="32"/>
        <v>2733897</v>
      </c>
      <c r="Z60" s="542">
        <f t="shared" si="32"/>
        <v>2096440</v>
      </c>
      <c r="AA60" s="542">
        <f t="shared" si="32"/>
        <v>1982316</v>
      </c>
      <c r="AB60" s="542">
        <f t="shared" si="32"/>
        <v>2300576</v>
      </c>
      <c r="AC60" s="542">
        <f t="shared" si="32"/>
        <v>2659390</v>
      </c>
      <c r="AD60" s="542">
        <f t="shared" si="32"/>
        <v>3938193</v>
      </c>
      <c r="AE60" s="542">
        <f t="shared" si="32"/>
        <v>9651342</v>
      </c>
      <c r="AF60" s="542">
        <f t="shared" si="32"/>
        <v>0</v>
      </c>
    </row>
    <row r="61" spans="1:33" ht="16" thickTop="1">
      <c r="A61" s="483"/>
      <c r="B61" s="481" t="s">
        <v>269</v>
      </c>
      <c r="C61" s="491">
        <f>SUM(U61:AF61)</f>
        <v>32167282</v>
      </c>
      <c r="D61" s="491">
        <f>SUM(F61:Q61)</f>
        <v>73777669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f>Mar!K44</f>
        <v>7051984</v>
      </c>
      <c r="X61" s="543">
        <v>5286030</v>
      </c>
      <c r="Y61" s="543"/>
      <c r="Z61" s="543"/>
      <c r="AA61" s="543"/>
      <c r="AB61" s="543"/>
      <c r="AC61" s="543"/>
      <c r="AD61" s="543"/>
      <c r="AE61" s="543"/>
    </row>
    <row r="62" spans="1:33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</row>
    <row r="63" spans="1:33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33">U63+1</f>
        <v>201502</v>
      </c>
      <c r="W63" s="484">
        <f t="shared" si="33"/>
        <v>201503</v>
      </c>
      <c r="X63" s="484">
        <f t="shared" si="33"/>
        <v>201504</v>
      </c>
      <c r="Y63" s="484">
        <f t="shared" si="33"/>
        <v>201505</v>
      </c>
      <c r="Z63" s="484">
        <f t="shared" si="33"/>
        <v>201506</v>
      </c>
      <c r="AA63" s="484">
        <f t="shared" si="33"/>
        <v>201507</v>
      </c>
      <c r="AB63" s="484">
        <f t="shared" si="33"/>
        <v>201508</v>
      </c>
      <c r="AC63" s="484">
        <f t="shared" si="33"/>
        <v>201509</v>
      </c>
      <c r="AD63" s="484">
        <f t="shared" si="33"/>
        <v>201510</v>
      </c>
      <c r="AE63" s="484">
        <f t="shared" si="33"/>
        <v>201511</v>
      </c>
      <c r="AF63" s="484">
        <f t="shared" si="33"/>
        <v>201512</v>
      </c>
    </row>
    <row r="64" spans="1:33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</row>
    <row r="65" spans="1:39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</row>
    <row r="66" spans="1:39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</row>
    <row r="67" spans="1:39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H67" s="707" t="s">
        <v>330</v>
      </c>
      <c r="AI67" s="708"/>
      <c r="AJ67" s="708"/>
      <c r="AK67" s="708"/>
      <c r="AL67" s="708"/>
      <c r="AM67" s="708"/>
    </row>
    <row r="68" spans="1:39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H68" s="708"/>
      <c r="AI68" s="708"/>
      <c r="AJ68" s="708"/>
      <c r="AK68" s="708"/>
      <c r="AL68" s="708"/>
      <c r="AM68" s="708"/>
    </row>
    <row r="69" spans="1:39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H69" s="708"/>
      <c r="AI69" s="708"/>
      <c r="AJ69" s="708"/>
      <c r="AK69" s="708"/>
      <c r="AL69" s="708"/>
      <c r="AM69" s="708"/>
    </row>
    <row r="70" spans="1:39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H70" s="708"/>
      <c r="AI70" s="708"/>
      <c r="AJ70" s="708"/>
      <c r="AK70" s="708"/>
      <c r="AL70" s="708"/>
      <c r="AM70" s="708"/>
    </row>
    <row r="71" spans="1:39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H71" s="708"/>
      <c r="AI71" s="708"/>
      <c r="AJ71" s="708"/>
      <c r="AK71" s="708"/>
      <c r="AL71" s="708"/>
      <c r="AM71" s="708"/>
    </row>
    <row r="72" spans="1:39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H72" s="708"/>
      <c r="AI72" s="708"/>
      <c r="AJ72" s="708"/>
      <c r="AK72" s="708"/>
      <c r="AL72" s="708"/>
      <c r="AM72" s="708"/>
    </row>
    <row r="73" spans="1:39" s="483" customFormat="1" ht="16" thickBot="1">
      <c r="A73" s="536">
        <v>191015</v>
      </c>
      <c r="B73" s="485" t="s">
        <v>256</v>
      </c>
      <c r="C73" s="486" t="s">
        <v>251</v>
      </c>
      <c r="D73" s="679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34">U73+1</f>
        <v>201502</v>
      </c>
      <c r="W73" s="484">
        <f t="shared" si="34"/>
        <v>201503</v>
      </c>
      <c r="X73" s="484">
        <f t="shared" si="34"/>
        <v>201504</v>
      </c>
      <c r="Y73" s="484">
        <f t="shared" si="34"/>
        <v>201505</v>
      </c>
      <c r="Z73" s="484">
        <f t="shared" si="34"/>
        <v>201506</v>
      </c>
      <c r="AA73" s="484">
        <f t="shared" si="34"/>
        <v>201507</v>
      </c>
      <c r="AB73" s="484">
        <f t="shared" si="34"/>
        <v>201508</v>
      </c>
      <c r="AC73" s="484">
        <f t="shared" si="34"/>
        <v>201509</v>
      </c>
      <c r="AD73" s="484">
        <f t="shared" si="34"/>
        <v>201510</v>
      </c>
      <c r="AE73" s="484">
        <f t="shared" si="34"/>
        <v>201511</v>
      </c>
      <c r="AF73" s="484">
        <f t="shared" si="34"/>
        <v>201512</v>
      </c>
      <c r="AH73" s="564" t="s">
        <v>330</v>
      </c>
      <c r="AI73" s="525"/>
      <c r="AJ73" s="482"/>
      <c r="AK73" s="482"/>
      <c r="AL73" s="482"/>
      <c r="AM73" s="482"/>
    </row>
    <row r="74" spans="1:39" s="483" customFormat="1" ht="16" thickBot="1">
      <c r="A74" s="484"/>
      <c r="B74" s="485" t="s">
        <v>257</v>
      </c>
      <c r="C74" s="486"/>
      <c r="D74" s="679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H74" s="513">
        <f>AH4</f>
        <v>201504</v>
      </c>
      <c r="AI74" s="526"/>
      <c r="AJ74" s="514"/>
      <c r="AK74" s="514"/>
      <c r="AL74" s="523"/>
      <c r="AM74" s="515"/>
    </row>
    <row r="75" spans="1:39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f>U79</f>
        <v>-11881.722960675279</v>
      </c>
      <c r="W75" s="482">
        <f t="shared" ref="W75:AF75" si="35">V79</f>
        <v>-11901.532960675278</v>
      </c>
      <c r="X75" s="482">
        <f t="shared" si="35"/>
        <v>-11911.450904809175</v>
      </c>
      <c r="Y75" s="482">
        <f t="shared" si="35"/>
        <v>-11921.377113896517</v>
      </c>
      <c r="Z75" s="482">
        <f t="shared" si="35"/>
        <v>-11931.311594824763</v>
      </c>
      <c r="AA75" s="482">
        <f t="shared" si="35"/>
        <v>-11941.254354487117</v>
      </c>
      <c r="AB75" s="482">
        <f t="shared" si="35"/>
        <v>-11951.205399782522</v>
      </c>
      <c r="AC75" s="482">
        <f t="shared" si="35"/>
        <v>-11961.164737615674</v>
      </c>
      <c r="AD75" s="482">
        <f t="shared" si="35"/>
        <v>-11971.132374897021</v>
      </c>
      <c r="AE75" s="482">
        <f t="shared" si="35"/>
        <v>-11981.108318542769</v>
      </c>
      <c r="AF75" s="482">
        <f t="shared" si="35"/>
        <v>-11991.092575474888</v>
      </c>
      <c r="AH75" s="497" t="s">
        <v>308</v>
      </c>
      <c r="AI75" s="527">
        <v>419600</v>
      </c>
      <c r="AJ75" s="498" t="s">
        <v>288</v>
      </c>
      <c r="AK75" s="498" t="s">
        <v>291</v>
      </c>
      <c r="AL75" s="470">
        <f>IF(SUMIF(U72:AF72,AH73,U76:AF76)&lt;0,-SUMIF(U72:AF72,AH73,U76:AF76),0)</f>
        <v>0</v>
      </c>
      <c r="AM75" s="520">
        <f>IF(SUMIF(U73:AF73,AH74,U77:AF77)&gt;0,SUMIF(U73:AF73,AH74,U77:AF77),0)</f>
        <v>0</v>
      </c>
    </row>
    <row r="76" spans="1:39">
      <c r="B76" s="481" t="s">
        <v>23</v>
      </c>
      <c r="C76" s="482">
        <f>SUM(U76:AF76)</f>
        <v>4.9799999978858978E-3</v>
      </c>
      <c r="D76" s="491">
        <f>SUM(F76:Q76)</f>
        <v>1181062.2835600001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36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H76" s="499" t="s">
        <v>309</v>
      </c>
      <c r="AI76" s="528">
        <v>431600</v>
      </c>
      <c r="AJ76" s="358" t="s">
        <v>288</v>
      </c>
      <c r="AK76" s="358" t="s">
        <v>291</v>
      </c>
      <c r="AL76" s="381">
        <f>IF(SUMIF(U73:AF73,AH74,U77:AF77)&lt;0,-SUMIF(U73:AF73,AH74,U77:AF77),0)</f>
        <v>9.926209087340979</v>
      </c>
      <c r="AM76" s="500">
        <v>0</v>
      </c>
    </row>
    <row r="77" spans="1:39">
      <c r="B77" s="481" t="s">
        <v>4</v>
      </c>
      <c r="C77" s="482">
        <f t="shared" ref="C77:C78" si="37">SUM(U77:AF77)</f>
        <v>-109.46219194583813</v>
      </c>
      <c r="D77" s="491">
        <f>SUM(F77:Q77)</f>
        <v>-8150.2660220448734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f t="shared" ref="W77:AD77" si="38">((W75*(W74/12))+((W76/2)*(W74/12)))</f>
        <v>-9.9179441338960661</v>
      </c>
      <c r="X77" s="489">
        <f t="shared" si="38"/>
        <v>-9.926209087340979</v>
      </c>
      <c r="Y77" s="489">
        <f t="shared" si="38"/>
        <v>-9.9344809282470976</v>
      </c>
      <c r="Z77" s="489">
        <f t="shared" si="38"/>
        <v>-9.9427596623539696</v>
      </c>
      <c r="AA77" s="489">
        <f t="shared" si="38"/>
        <v>-9.9510452954059314</v>
      </c>
      <c r="AB77" s="489">
        <f t="shared" si="38"/>
        <v>-9.9593378331521034</v>
      </c>
      <c r="AC77" s="489">
        <f t="shared" si="38"/>
        <v>-9.9676372813463967</v>
      </c>
      <c r="AD77" s="489">
        <f t="shared" si="38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H77" s="499" t="s">
        <v>312</v>
      </c>
      <c r="AI77" s="528">
        <v>191015</v>
      </c>
      <c r="AJ77" s="358" t="s">
        <v>288</v>
      </c>
      <c r="AK77" s="358" t="s">
        <v>291</v>
      </c>
      <c r="AL77" s="381">
        <f>IF((SUMIF(U73:AF73,AH74,U76:AF76)+SUMIF(U73:AF73,AH74,U77:AF77))&gt;0,(SUMIF(U73:AF73,AH74,U76:AF76)+SUMIF(U73:AF73,AH74,U77:AF77)),0)</f>
        <v>0</v>
      </c>
      <c r="AM77" s="500">
        <f>IF((SUMIF(U73:AF73,AH74,U76:AF76)+SUMIF(U73:AF73,AH74,U77:AF77))&lt;0,-(SUMIF(U73:AF73,AH74,U76:AF76)+SUMIF(U73:AF73,AH74,U77:AF77)),0)</f>
        <v>9.926209087340979</v>
      </c>
    </row>
    <row r="78" spans="1:39">
      <c r="B78" s="481" t="s">
        <v>148</v>
      </c>
      <c r="C78" s="482">
        <f t="shared" si="37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H78" s="499" t="s">
        <v>313</v>
      </c>
      <c r="AI78" s="528">
        <v>805111</v>
      </c>
      <c r="AJ78" s="358" t="s">
        <v>288</v>
      </c>
      <c r="AK78" s="358" t="s">
        <v>291</v>
      </c>
      <c r="AL78" s="381">
        <f>IF((SUMIF(U73:AF73,AH74,U76:AF76))&lt;0,-(SUMIF(U73:AF73,AH74,U76:AF76)),0)</f>
        <v>0</v>
      </c>
      <c r="AM78" s="500">
        <f>IF((SUMIF(U73:AF73,AH74,U76:AF76))&gt;0,(SUMIF(U73:AF73,AH74,U76:AF76)),0)</f>
        <v>0</v>
      </c>
    </row>
    <row r="79" spans="1:39" ht="16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F79" si="39">SUM(V75:V78)</f>
        <v>-11901.532960675278</v>
      </c>
      <c r="W79" s="541">
        <f t="shared" si="39"/>
        <v>-11911.450904809175</v>
      </c>
      <c r="X79" s="541">
        <f t="shared" si="39"/>
        <v>-11921.377113896517</v>
      </c>
      <c r="Y79" s="541">
        <f t="shared" si="39"/>
        <v>-11931.311594824763</v>
      </c>
      <c r="Z79" s="541">
        <f t="shared" si="39"/>
        <v>-11941.254354487117</v>
      </c>
      <c r="AA79" s="541">
        <f t="shared" si="39"/>
        <v>-11951.205399782522</v>
      </c>
      <c r="AB79" s="541">
        <f t="shared" si="39"/>
        <v>-11961.164737615674</v>
      </c>
      <c r="AC79" s="541">
        <f t="shared" si="39"/>
        <v>-11971.132374897021</v>
      </c>
      <c r="AD79" s="541">
        <f t="shared" si="39"/>
        <v>-11981.108318542769</v>
      </c>
      <c r="AE79" s="541">
        <f t="shared" si="39"/>
        <v>-11991.092575474888</v>
      </c>
      <c r="AF79" s="541">
        <f t="shared" si="39"/>
        <v>-12001.085152621117</v>
      </c>
      <c r="AH79" s="499" t="s">
        <v>332</v>
      </c>
      <c r="AI79" s="528">
        <v>191015</v>
      </c>
      <c r="AJ79" s="358" t="s">
        <v>288</v>
      </c>
      <c r="AK79" s="358" t="s">
        <v>291</v>
      </c>
      <c r="AL79" s="381">
        <v>0</v>
      </c>
      <c r="AM79" s="500">
        <v>0</v>
      </c>
    </row>
    <row r="80" spans="1:39" ht="16.5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 t="e">
        <f ca="1">_xll.Get_Balance(V73,"YTD","USD","Total","A","","001",$A$73,"GD","ID","DL")</f>
        <v>#NAME?</v>
      </c>
      <c r="W80" s="482" t="e">
        <f ca="1">_xll.Get_Balance(W73,"YTD","USD","Total","A","","001",$A$73,"GD","ID","DL")</f>
        <v>#NAME?</v>
      </c>
      <c r="X80" s="482" t="e">
        <f ca="1">_xll.Get_Balance(X73,"YTD","USD","Total","A","","001",$A$73,"GD","ID","DL")</f>
        <v>#NAME?</v>
      </c>
      <c r="Y80" s="482" t="e">
        <f ca="1">_xll.Get_Balance(Y73,"YTD","USD","Total","A","","001",$A$73,"GD","ID","DL")</f>
        <v>#NAME?</v>
      </c>
      <c r="Z80" s="482" t="e">
        <f ca="1">_xll.Get_Balance(Z73,"YTD","USD","Total","A","","001",$A$73,"GD","ID","DL")</f>
        <v>#NAME?</v>
      </c>
      <c r="AA80" s="482" t="e">
        <f ca="1">_xll.Get_Balance(AA73,"YTD","USD","Total","A","","001",$A$73,"GD","ID","DL")</f>
        <v>#NAME?</v>
      </c>
      <c r="AB80" s="482" t="e">
        <f ca="1">_xll.Get_Balance(AB73,"YTD","USD","Total","A","","001",$A$73,"GD","ID","DL")</f>
        <v>#NAME?</v>
      </c>
      <c r="AC80" s="482" t="e">
        <f ca="1">_xll.Get_Balance(AC73,"YTD","USD","Total","A","","001",$A$73,"GD","ID","DL")</f>
        <v>#NAME?</v>
      </c>
      <c r="AD80" s="482" t="e">
        <f ca="1">_xll.Get_Balance(AD73,"YTD","USD","Total","A","","001",$A$73,"GD","ID","DL")</f>
        <v>#NAME?</v>
      </c>
      <c r="AE80" s="482" t="e">
        <f ca="1">_xll.Get_Balance(AE73,"YTD","USD","Total","A","","001",$A$73,"GD","ID","DL")</f>
        <v>#NAME?</v>
      </c>
      <c r="AF80" s="482" t="e">
        <f ca="1">_xll.Get_Balance(AF73,"YTD","USD","Total","A","","001",$A$73,"GD","ID","DL")</f>
        <v>#NAME?</v>
      </c>
      <c r="AH80" s="501" t="s">
        <v>332</v>
      </c>
      <c r="AI80" s="529">
        <v>431600</v>
      </c>
      <c r="AJ80" s="502" t="s">
        <v>288</v>
      </c>
      <c r="AK80" s="502" t="s">
        <v>291</v>
      </c>
      <c r="AL80" s="464">
        <v>0</v>
      </c>
      <c r="AM80" s="521">
        <v>0</v>
      </c>
    </row>
    <row r="81" spans="2:39" ht="16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 t="e">
        <f t="shared" ref="V81:AF81" ca="1" si="40">V79-V80</f>
        <v>#NAME?</v>
      </c>
      <c r="W81" s="482" t="e">
        <f t="shared" ca="1" si="40"/>
        <v>#NAME?</v>
      </c>
      <c r="X81" s="482" t="e">
        <f t="shared" ca="1" si="40"/>
        <v>#NAME?</v>
      </c>
      <c r="Y81" s="482" t="e">
        <f t="shared" ca="1" si="40"/>
        <v>#NAME?</v>
      </c>
      <c r="Z81" s="482" t="e">
        <f t="shared" ca="1" si="40"/>
        <v>#NAME?</v>
      </c>
      <c r="AA81" s="482" t="e">
        <f t="shared" ca="1" si="40"/>
        <v>#NAME?</v>
      </c>
      <c r="AB81" s="482" t="e">
        <f t="shared" ca="1" si="40"/>
        <v>#NAME?</v>
      </c>
      <c r="AC81" s="482" t="e">
        <f t="shared" ca="1" si="40"/>
        <v>#NAME?</v>
      </c>
      <c r="AD81" s="482" t="e">
        <f t="shared" ca="1" si="40"/>
        <v>#NAME?</v>
      </c>
      <c r="AE81" s="482" t="e">
        <f t="shared" ca="1" si="40"/>
        <v>#NAME?</v>
      </c>
      <c r="AF81" s="482" t="e">
        <f t="shared" ca="1" si="40"/>
        <v>#NAME?</v>
      </c>
      <c r="AH81" s="516"/>
      <c r="AI81" s="530"/>
      <c r="AJ81" s="517"/>
      <c r="AK81" s="517"/>
      <c r="AL81" s="517" t="s">
        <v>159</v>
      </c>
      <c r="AM81" s="518">
        <f>SUM(AL75:AL80)-SUM(AM75:AM80)</f>
        <v>0</v>
      </c>
    </row>
    <row r="84" spans="2:39">
      <c r="AH84" s="707" t="s">
        <v>331</v>
      </c>
      <c r="AI84" s="708"/>
      <c r="AJ84" s="708"/>
      <c r="AK84" s="708"/>
      <c r="AL84" s="708"/>
      <c r="AM84" s="708"/>
    </row>
    <row r="85" spans="2:39">
      <c r="AH85" s="708"/>
      <c r="AI85" s="708"/>
      <c r="AJ85" s="708"/>
      <c r="AK85" s="708"/>
      <c r="AL85" s="708"/>
      <c r="AM85" s="708"/>
    </row>
    <row r="86" spans="2:39">
      <c r="AH86" s="708"/>
      <c r="AI86" s="708"/>
      <c r="AJ86" s="708"/>
      <c r="AK86" s="708"/>
      <c r="AL86" s="708"/>
      <c r="AM86" s="708"/>
    </row>
    <row r="87" spans="2:39">
      <c r="AH87" s="708"/>
      <c r="AI87" s="708"/>
      <c r="AJ87" s="708"/>
      <c r="AK87" s="708"/>
      <c r="AL87" s="708"/>
      <c r="AM87" s="708"/>
    </row>
    <row r="88" spans="2:39">
      <c r="AH88" s="708"/>
      <c r="AI88" s="708"/>
      <c r="AJ88" s="708"/>
      <c r="AK88" s="708"/>
      <c r="AL88" s="708"/>
      <c r="AM88" s="708"/>
    </row>
    <row r="89" spans="2:39">
      <c r="AH89" s="708"/>
      <c r="AI89" s="708"/>
      <c r="AJ89" s="708"/>
      <c r="AK89" s="708"/>
      <c r="AL89" s="708"/>
      <c r="AM89" s="708"/>
    </row>
    <row r="90" spans="2:39">
      <c r="AH90" s="570" t="s">
        <v>308</v>
      </c>
      <c r="AI90" s="571">
        <v>419600</v>
      </c>
      <c r="AJ90" s="572" t="s">
        <v>288</v>
      </c>
      <c r="AK90" s="572" t="s">
        <v>291</v>
      </c>
      <c r="AL90" s="573"/>
      <c r="AM90" s="574">
        <v>63.29</v>
      </c>
    </row>
    <row r="91" spans="2:39">
      <c r="M91" s="482">
        <v>13246436.58</v>
      </c>
      <c r="Y91" s="482" t="e">
        <f ca="1">_xll.GLW_Get_Balance("201409","YTD","USD","Total","A",,"001","808100","%","%","DL")</f>
        <v>#NAME?</v>
      </c>
      <c r="AH91" s="575" t="s">
        <v>312</v>
      </c>
      <c r="AI91" s="209">
        <v>191015</v>
      </c>
      <c r="AJ91" s="7" t="s">
        <v>288</v>
      </c>
      <c r="AK91" s="7" t="s">
        <v>291</v>
      </c>
      <c r="AL91" s="576">
        <v>175730.52</v>
      </c>
      <c r="AM91" s="577"/>
    </row>
    <row r="92" spans="2:39">
      <c r="AH92" s="578" t="s">
        <v>313</v>
      </c>
      <c r="AI92" s="579">
        <v>805111</v>
      </c>
      <c r="AJ92" s="580" t="s">
        <v>288</v>
      </c>
      <c r="AK92" s="580" t="s">
        <v>291</v>
      </c>
      <c r="AL92" s="581"/>
      <c r="AM92" s="582">
        <v>175667.22</v>
      </c>
    </row>
  </sheetData>
  <mergeCells count="3">
    <mergeCell ref="AH31:AL36"/>
    <mergeCell ref="AH67:AM72"/>
    <mergeCell ref="AH84:AM89"/>
  </mergeCells>
  <conditionalFormatting sqref="E28">
    <cfRule type="cellIs" dxfId="318" priority="26" operator="notEqual">
      <formula>E27</formula>
    </cfRule>
  </conditionalFormatting>
  <conditionalFormatting sqref="F28">
    <cfRule type="cellIs" dxfId="317" priority="25" operator="notEqual">
      <formula>F27</formula>
    </cfRule>
  </conditionalFormatting>
  <conditionalFormatting sqref="G28">
    <cfRule type="cellIs" dxfId="316" priority="24" operator="notEqual">
      <formula>G27</formula>
    </cfRule>
  </conditionalFormatting>
  <conditionalFormatting sqref="H28">
    <cfRule type="cellIs" dxfId="315" priority="23" operator="notEqual">
      <formula>H27</formula>
    </cfRule>
  </conditionalFormatting>
  <conditionalFormatting sqref="C28">
    <cfRule type="cellIs" dxfId="314" priority="22" operator="notEqual">
      <formula>C27</formula>
    </cfRule>
  </conditionalFormatting>
  <conditionalFormatting sqref="F61">
    <cfRule type="cellIs" dxfId="313" priority="21" operator="notEqual">
      <formula>F60</formula>
    </cfRule>
  </conditionalFormatting>
  <conditionalFormatting sqref="G61">
    <cfRule type="cellIs" dxfId="312" priority="20" operator="notEqual">
      <formula>G60</formula>
    </cfRule>
  </conditionalFormatting>
  <conditionalFormatting sqref="H61">
    <cfRule type="cellIs" dxfId="311" priority="19" operator="notEqual">
      <formula>H60</formula>
    </cfRule>
  </conditionalFormatting>
  <conditionalFormatting sqref="C61">
    <cfRule type="cellIs" dxfId="310" priority="18" operator="notEqual">
      <formula>C60</formula>
    </cfRule>
  </conditionalFormatting>
  <conditionalFormatting sqref="I61">
    <cfRule type="cellIs" dxfId="309" priority="17" operator="notEqual">
      <formula>I60</formula>
    </cfRule>
  </conditionalFormatting>
  <conditionalFormatting sqref="AM81 AM48 AM11">
    <cfRule type="cellIs" dxfId="308" priority="16" operator="notEqual">
      <formula>0</formula>
    </cfRule>
  </conditionalFormatting>
  <conditionalFormatting sqref="I28">
    <cfRule type="cellIs" dxfId="307" priority="15" operator="notEqual">
      <formula>I27</formula>
    </cfRule>
  </conditionalFormatting>
  <conditionalFormatting sqref="J28">
    <cfRule type="cellIs" dxfId="306" priority="14" operator="notEqual">
      <formula>J27</formula>
    </cfRule>
  </conditionalFormatting>
  <conditionalFormatting sqref="J61">
    <cfRule type="cellIs" dxfId="305" priority="13" operator="notEqual">
      <formula>J60</formula>
    </cfRule>
  </conditionalFormatting>
  <conditionalFormatting sqref="K28">
    <cfRule type="cellIs" dxfId="304" priority="12" operator="notEqual">
      <formula>K27</formula>
    </cfRule>
  </conditionalFormatting>
  <conditionalFormatting sqref="K61">
    <cfRule type="cellIs" dxfId="303" priority="11" operator="notEqual">
      <formula>K60</formula>
    </cfRule>
  </conditionalFormatting>
  <conditionalFormatting sqref="L28:M28">
    <cfRule type="cellIs" dxfId="302" priority="10" operator="notEqual">
      <formula>L27</formula>
    </cfRule>
  </conditionalFormatting>
  <conditionalFormatting sqref="N28">
    <cfRule type="cellIs" dxfId="301" priority="9" operator="notEqual">
      <formula>N27</formula>
    </cfRule>
  </conditionalFormatting>
  <conditionalFormatting sqref="U61">
    <cfRule type="cellIs" dxfId="300" priority="8" operator="notEqual">
      <formula>U60</formula>
    </cfRule>
  </conditionalFormatting>
  <conditionalFormatting sqref="U28:V28">
    <cfRule type="cellIs" dxfId="299" priority="7" operator="notEqual">
      <formula>U27</formula>
    </cfRule>
  </conditionalFormatting>
  <conditionalFormatting sqref="V28">
    <cfRule type="cellIs" dxfId="298" priority="6" operator="notEqual">
      <formula>V27</formula>
    </cfRule>
  </conditionalFormatting>
  <conditionalFormatting sqref="V61">
    <cfRule type="cellIs" dxfId="297" priority="5" operator="notEqual">
      <formula>V60</formula>
    </cfRule>
  </conditionalFormatting>
  <conditionalFormatting sqref="W28">
    <cfRule type="cellIs" dxfId="296" priority="4" operator="notEqual">
      <formula>W27</formula>
    </cfRule>
  </conditionalFormatting>
  <conditionalFormatting sqref="W61">
    <cfRule type="cellIs" dxfId="295" priority="3" operator="notEqual">
      <formula>W60</formula>
    </cfRule>
  </conditionalFormatting>
  <conditionalFormatting sqref="X28:Y28">
    <cfRule type="cellIs" dxfId="294" priority="2" operator="notEqual">
      <formula>X27</formula>
    </cfRule>
  </conditionalFormatting>
  <conditionalFormatting sqref="Z28">
    <cfRule type="cellIs" dxfId="293" priority="1" operator="notEqual">
      <formula>Z27</formula>
    </cfRule>
  </conditionalFormatting>
  <pageMargins left="0" right="0" top="0.75" bottom="0.75" header="0.3" footer="0.3"/>
  <pageSetup scale="46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>
    <tabColor rgb="FFFFFF00"/>
  </sheetPr>
  <dimension ref="A1:AZ80"/>
  <sheetViews>
    <sheetView zoomScale="85" zoomScaleNormal="85" zoomScaleSheetLayoutView="85" zoomScalePageLayoutView="80" workbookViewId="0">
      <selection activeCell="AS41" sqref="AS41"/>
    </sheetView>
  </sheetViews>
  <sheetFormatPr defaultColWidth="9.09765625" defaultRowHeight="15.5"/>
  <cols>
    <col min="1" max="1" width="17.296875" style="482" customWidth="1"/>
    <col min="2" max="2" width="18.69921875" style="481" bestFit="1" customWidth="1"/>
    <col min="3" max="3" width="16.09765625" style="482" customWidth="1"/>
    <col min="4" max="4" width="16.296875" style="482" customWidth="1"/>
    <col min="5" max="5" width="15.59765625" style="482" hidden="1" customWidth="1"/>
    <col min="6" max="6" width="18.296875" style="482" hidden="1" customWidth="1"/>
    <col min="7" max="7" width="16.296875" style="482" hidden="1" customWidth="1"/>
    <col min="8" max="9" width="19.8984375" style="482" hidden="1" customWidth="1"/>
    <col min="10" max="10" width="16.296875" style="482" hidden="1" customWidth="1"/>
    <col min="11" max="11" width="21.59765625" style="482" hidden="1" customWidth="1"/>
    <col min="12" max="18" width="16.296875" style="482" hidden="1" customWidth="1"/>
    <col min="19" max="21" width="16.296875" style="482" customWidth="1"/>
    <col min="22" max="22" width="19.8984375" style="482" customWidth="1"/>
    <col min="23" max="23" width="16.296875" style="482" customWidth="1"/>
    <col min="24" max="24" width="21.59765625" style="482" customWidth="1"/>
    <col min="25" max="26" width="16.296875" style="482" customWidth="1"/>
    <col min="27" max="33" width="16.296875" style="482" hidden="1" customWidth="1"/>
    <col min="34" max="34" width="11.69921875" style="482" customWidth="1"/>
    <col min="35" max="35" width="37.8984375" style="482" bestFit="1" customWidth="1"/>
    <col min="36" max="36" width="14.3984375" style="525" bestFit="1" customWidth="1"/>
    <col min="37" max="37" width="4.69921875" style="482" bestFit="1" customWidth="1"/>
    <col min="38" max="38" width="5" style="482" bestFit="1" customWidth="1"/>
    <col min="39" max="39" width="18.296875" style="482" customWidth="1"/>
    <col min="40" max="40" width="17.09765625" style="482" bestFit="1" customWidth="1"/>
    <col min="41" max="41" width="0.3984375" style="482" customWidth="1"/>
    <col min="42" max="42" width="4" style="482" customWidth="1"/>
    <col min="43" max="43" width="4.69921875" style="482" customWidth="1"/>
    <col min="44" max="44" width="13.69921875" style="482" bestFit="1" customWidth="1"/>
    <col min="45" max="46" width="13.59765625" style="482" bestFit="1" customWidth="1"/>
    <col min="47" max="47" width="1.09765625" style="482" customWidth="1"/>
    <col min="48" max="49" width="13.59765625" style="482" bestFit="1" customWidth="1"/>
    <col min="50" max="50" width="2.3984375" style="482" customWidth="1"/>
    <col min="51" max="52" width="14" style="482" bestFit="1" customWidth="1"/>
    <col min="53" max="16384" width="9.09765625" style="482"/>
  </cols>
  <sheetData>
    <row r="1" spans="1:52">
      <c r="A1" s="480" t="s">
        <v>265</v>
      </c>
      <c r="AI1" s="480" t="s">
        <v>315</v>
      </c>
    </row>
    <row r="2" spans="1:52" ht="16" thickBot="1">
      <c r="A2" s="483" t="s">
        <v>266</v>
      </c>
      <c r="S2" s="483" t="s">
        <v>337</v>
      </c>
      <c r="T2" s="483" t="s">
        <v>338</v>
      </c>
      <c r="AR2" s="636"/>
      <c r="AS2" s="711" t="s">
        <v>341</v>
      </c>
      <c r="AT2" s="712"/>
      <c r="AV2" s="713" t="s">
        <v>346</v>
      </c>
      <c r="AW2" s="713"/>
      <c r="AY2" s="711" t="s">
        <v>347</v>
      </c>
      <c r="AZ2" s="711"/>
    </row>
    <row r="3" spans="1:52" s="483" customFormat="1" ht="31.5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604">
        <v>201411</v>
      </c>
      <c r="T3" s="604">
        <v>201411</v>
      </c>
      <c r="U3" s="484">
        <v>201412</v>
      </c>
      <c r="V3" s="484">
        <v>201501</v>
      </c>
      <c r="W3" s="484">
        <f t="shared" ref="W3:AE3" si="0">V3+1</f>
        <v>201502</v>
      </c>
      <c r="X3" s="484">
        <f t="shared" si="0"/>
        <v>201503</v>
      </c>
      <c r="Y3" s="484">
        <f t="shared" si="0"/>
        <v>201504</v>
      </c>
      <c r="Z3" s="484">
        <f t="shared" si="0"/>
        <v>201505</v>
      </c>
      <c r="AA3" s="484">
        <f t="shared" si="0"/>
        <v>201506</v>
      </c>
      <c r="AB3" s="484">
        <f t="shared" si="0"/>
        <v>201507</v>
      </c>
      <c r="AC3" s="484">
        <f t="shared" si="0"/>
        <v>201508</v>
      </c>
      <c r="AD3" s="484">
        <f t="shared" si="0"/>
        <v>201509</v>
      </c>
      <c r="AE3" s="484">
        <f t="shared" si="0"/>
        <v>201510</v>
      </c>
      <c r="AF3" s="484">
        <f>AE3+1</f>
        <v>201511</v>
      </c>
      <c r="AG3" s="484">
        <f t="shared" ref="AG3" si="1">AF3+1</f>
        <v>201512</v>
      </c>
      <c r="AJ3" s="484"/>
      <c r="AR3" s="628" t="s">
        <v>340</v>
      </c>
      <c r="AS3" s="714"/>
      <c r="AT3" s="715"/>
      <c r="AU3" s="635"/>
      <c r="AV3" s="573"/>
      <c r="AW3" s="573"/>
      <c r="AX3" s="584"/>
      <c r="AY3" s="573"/>
      <c r="AZ3" s="574"/>
    </row>
    <row r="4" spans="1:52" s="483" customFormat="1" ht="16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605">
        <v>3.2500000000000001E-2</v>
      </c>
      <c r="T4" s="605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I4" s="544" t="s">
        <v>339</v>
      </c>
      <c r="AJ4" s="526"/>
      <c r="AK4" s="514"/>
      <c r="AL4" s="514"/>
      <c r="AM4" s="514"/>
      <c r="AN4" s="515"/>
      <c r="AR4" s="630">
        <v>419600</v>
      </c>
      <c r="AS4" s="625"/>
      <c r="AT4" s="577">
        <v>5755.39</v>
      </c>
      <c r="AU4" s="588"/>
      <c r="AV4" s="576"/>
      <c r="AW4" s="576">
        <v>5660.81</v>
      </c>
      <c r="AX4" s="588"/>
      <c r="AY4" s="673">
        <v>94.58</v>
      </c>
      <c r="AZ4" s="577"/>
    </row>
    <row r="5" spans="1:52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606">
        <v>-587853.14358878916</v>
      </c>
      <c r="T5" s="606">
        <v>-587853.14358878916</v>
      </c>
      <c r="U5" s="482">
        <f>T13</f>
        <v>1709891.116411211</v>
      </c>
      <c r="V5" s="482">
        <f>U13</f>
        <v>-235817.60472778248</v>
      </c>
      <c r="W5" s="482">
        <f>V13</f>
        <v>-1155261.6318077815</v>
      </c>
      <c r="X5" s="482">
        <f t="shared" ref="X5:AE5" si="2">W13</f>
        <v>-1883709.9079167806</v>
      </c>
      <c r="Y5" s="482">
        <f t="shared" si="2"/>
        <v>-873187.8304517779</v>
      </c>
      <c r="Z5" s="482">
        <f t="shared" si="2"/>
        <v>-2959310.5273637786</v>
      </c>
      <c r="AA5" s="482">
        <f t="shared" si="2"/>
        <v>-3131335.1056017778</v>
      </c>
      <c r="AB5" s="482">
        <f t="shared" si="2"/>
        <v>-3303665.3811117788</v>
      </c>
      <c r="AC5" s="482">
        <f t="shared" si="2"/>
        <v>-3655951.1635297774</v>
      </c>
      <c r="AD5" s="482">
        <f t="shared" si="2"/>
        <v>-3747278.063169776</v>
      </c>
      <c r="AE5" s="482">
        <f t="shared" si="2"/>
        <v>-4948357.7972317785</v>
      </c>
      <c r="AF5" s="482">
        <f>AE13</f>
        <v>-6093381.4805967789</v>
      </c>
      <c r="AG5" s="482">
        <f t="shared" ref="AG5" si="3">AF13</f>
        <v>-7722519.1867867773</v>
      </c>
      <c r="AI5" s="497" t="s">
        <v>294</v>
      </c>
      <c r="AJ5" s="527">
        <v>419600</v>
      </c>
      <c r="AK5" s="498" t="s">
        <v>288</v>
      </c>
      <c r="AL5" s="498" t="s">
        <v>289</v>
      </c>
      <c r="AM5" s="655">
        <f>AY4+AY8-0.01</f>
        <v>283.99</v>
      </c>
      <c r="AN5" s="520">
        <v>0</v>
      </c>
      <c r="AR5" s="633">
        <v>191010</v>
      </c>
      <c r="AS5" s="576"/>
      <c r="AT5" s="576">
        <v>696229</v>
      </c>
      <c r="AU5" s="588"/>
      <c r="AV5" s="576"/>
      <c r="AW5" s="576">
        <v>766160.35</v>
      </c>
      <c r="AX5" s="588"/>
      <c r="AY5" s="576"/>
      <c r="AZ5" s="656">
        <v>69937.350000000006</v>
      </c>
    </row>
    <row r="6" spans="1:52">
      <c r="B6" s="481" t="s">
        <v>254</v>
      </c>
      <c r="C6" s="482">
        <f>SUM(V6:AG6)</f>
        <v>-10042423.246235993</v>
      </c>
      <c r="D6" s="482">
        <f>-2523837.34+SUM(E6:N6,E9:U9)</f>
        <v>1478321.2945212079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606">
        <v>-2016344.4799999939</v>
      </c>
      <c r="T6" s="606">
        <v>281115.09000000003</v>
      </c>
      <c r="U6" s="482">
        <v>-533760.94830399379</v>
      </c>
      <c r="V6" s="482">
        <f>Jan!$H$53</f>
        <v>688681.53940400109</v>
      </c>
      <c r="W6" s="482">
        <f>Feb!$H$53</f>
        <v>0</v>
      </c>
      <c r="X6" s="482">
        <f>Mar!$H$53</f>
        <v>1135107.4385570027</v>
      </c>
      <c r="Y6" s="482">
        <f>Apr!$H$53</f>
        <v>-2310603.7085020011</v>
      </c>
      <c r="Z6" s="482">
        <f>May!$H$53</f>
        <v>-1026688.9535339989</v>
      </c>
      <c r="AA6" s="482">
        <f>Jun!$H$53</f>
        <v>-1511176.335440001</v>
      </c>
      <c r="AB6" s="482">
        <f>Jul!$H$53</f>
        <v>-1483614.197077998</v>
      </c>
      <c r="AC6" s="482">
        <f>Aug!$H$53</f>
        <v>-1288286.6270379988</v>
      </c>
      <c r="AD6" s="482">
        <f>Sep!$H$53</f>
        <v>-2088616.5970920017</v>
      </c>
      <c r="AE6" s="482">
        <f>Oct!$H$55</f>
        <v>-1862270.5500129997</v>
      </c>
      <c r="AF6" s="482">
        <f>Nov!$H$55</f>
        <v>-294955.25549999811</v>
      </c>
      <c r="AG6" s="482">
        <f>Dec!$H$53</f>
        <v>0</v>
      </c>
      <c r="AI6" s="499" t="s">
        <v>295</v>
      </c>
      <c r="AJ6" s="528">
        <v>431600</v>
      </c>
      <c r="AK6" s="358" t="s">
        <v>288</v>
      </c>
      <c r="AL6" s="358" t="s">
        <v>289</v>
      </c>
      <c r="AM6" s="660">
        <f>AY11-AZ13+AY17+AY20</f>
        <v>97.410000000000011</v>
      </c>
      <c r="AN6" s="500">
        <v>0</v>
      </c>
      <c r="AR6" s="634">
        <v>805120</v>
      </c>
      <c r="AS6" s="576">
        <v>701984.39</v>
      </c>
      <c r="AT6" s="576"/>
      <c r="AU6" s="588"/>
      <c r="AV6" s="576">
        <v>771827.16</v>
      </c>
      <c r="AW6" s="576"/>
      <c r="AX6" s="588"/>
      <c r="AY6" s="674">
        <v>69842.77</v>
      </c>
      <c r="AZ6" s="577"/>
    </row>
    <row r="7" spans="1:52">
      <c r="B7" s="481" t="s">
        <v>255</v>
      </c>
      <c r="C7" s="482">
        <f t="shared" ref="C7:C12" si="4">SUM(V7:AG7)</f>
        <v>2652361.2041769996</v>
      </c>
      <c r="D7" s="482">
        <f>5059705.37+SUM(E7:N7,E10:U10)</f>
        <v>1484092.9597500032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606">
        <v>1314360.0922239996</v>
      </c>
      <c r="T7" s="606">
        <v>-1052942.25</v>
      </c>
      <c r="U7" s="482">
        <v>-1413941.2128349997</v>
      </c>
      <c r="V7" s="482">
        <f>Jan!$I$53</f>
        <v>-1606244.3564840001</v>
      </c>
      <c r="W7" s="482">
        <f>Feb!$I$53</f>
        <v>-724338.56610899908</v>
      </c>
      <c r="X7" s="482">
        <f>Mar!$I$53</f>
        <v>-120857.11109200004</v>
      </c>
      <c r="Y7" s="482">
        <f>Apr!$I$53</f>
        <v>229663.83159000031</v>
      </c>
      <c r="Z7" s="482">
        <f>May!$I$53</f>
        <v>862900.97529599979</v>
      </c>
      <c r="AA7" s="482">
        <f>Jun!$I$53</f>
        <v>1347548.3399299998</v>
      </c>
      <c r="AB7" s="482">
        <f>Jul!$I$53</f>
        <v>1140740.15466</v>
      </c>
      <c r="AC7" s="482">
        <f>Aug!$I$53</f>
        <v>1206971.3773980001</v>
      </c>
      <c r="AD7" s="482">
        <f>Sep!$I$53</f>
        <v>899296.28302999982</v>
      </c>
      <c r="AE7" s="482">
        <f>Oct!$I$55</f>
        <v>732178.99664799974</v>
      </c>
      <c r="AF7" s="563">
        <f>Nov!$I$55</f>
        <v>-1315498.7206899999</v>
      </c>
      <c r="AG7" s="482">
        <f>Dec!$I$53</f>
        <v>0</v>
      </c>
      <c r="AI7" s="499" t="s">
        <v>296</v>
      </c>
      <c r="AJ7" s="528">
        <v>191010</v>
      </c>
      <c r="AK7" s="358" t="s">
        <v>288</v>
      </c>
      <c r="AL7" s="358" t="s">
        <v>289</v>
      </c>
      <c r="AM7" s="381">
        <f>IF((SUMIF(V3:AG3,AI4,V6:AG6)+SUMIF(V3:AG3,AI4,V7:AG7)+SUMIF(V3:AG3,AI4,V8:AG8))&gt;0,(SUMIF(V3:AG3,AI4,V6:AG6)+SUMIF(V3:AG3,AI4,V7:AG7)+SUMIF(V3:AG3,AI4,V8:AG8)),0)</f>
        <v>0</v>
      </c>
      <c r="AN7" s="676">
        <f>AZ5+AZ9+AZ12-AY14+AZ18+AZ22-0.01</f>
        <v>381.39999999999122</v>
      </c>
      <c r="AR7" s="628" t="s">
        <v>342</v>
      </c>
      <c r="AS7" s="637"/>
      <c r="AT7" s="573"/>
      <c r="AU7" s="584"/>
      <c r="AV7" s="573"/>
      <c r="AW7" s="573"/>
      <c r="AX7" s="584"/>
      <c r="AY7" s="573"/>
      <c r="AZ7" s="574"/>
    </row>
    <row r="8" spans="1:52">
      <c r="B8" s="481" t="s">
        <v>258</v>
      </c>
      <c r="C8" s="482">
        <f t="shared" si="4"/>
        <v>-117554.7</v>
      </c>
      <c r="D8" s="482">
        <f>-38846.64+SUM(E8:N8,E11:U11)</f>
        <v>101496.42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5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615">
        <f>ROUND(((S5+S9+S10+S11)*(S4/12))+((SUM(S6:S7)/2)*(S4/12)),2)</f>
        <v>5755.39</v>
      </c>
      <c r="T8" s="615">
        <f>ROUND(((T5+T9+T10+T11)*(T4/12))+((SUM(T6:T7)/2)*(T4/12)),2)</f>
        <v>5660.81</v>
      </c>
      <c r="U8" s="489">
        <f>ROUND(((U5)*(U4/12))+((SUM(U6:U7)/2)*(U4/12)),2)</f>
        <v>1993.44</v>
      </c>
      <c r="V8" s="489">
        <f>ROUND(((V5)*(V4/12))+((SUM(V6:V7)/2)*(V4/12)),2)</f>
        <v>-1881.21</v>
      </c>
      <c r="W8" s="489">
        <f>ROUND(((W5)*(W4/12))+((SUM(W6:W7)/2)*(W4/12)),2)</f>
        <v>-4109.71</v>
      </c>
      <c r="X8" s="489">
        <f t="shared" ref="X8:AD8" si="6">ROUND(((X5)*(X4/12))+((SUM(X6:X7)/2)*(X4/12)),2)</f>
        <v>-3728.25</v>
      </c>
      <c r="Y8" s="489">
        <f t="shared" si="6"/>
        <v>-5182.82</v>
      </c>
      <c r="Z8" s="489">
        <f t="shared" si="6"/>
        <v>-8236.6</v>
      </c>
      <c r="AA8" s="489">
        <f t="shared" si="6"/>
        <v>-8702.2800000000007</v>
      </c>
      <c r="AB8" s="489">
        <f t="shared" si="6"/>
        <v>-9411.74</v>
      </c>
      <c r="AC8" s="489">
        <f t="shared" si="6"/>
        <v>-10011.65</v>
      </c>
      <c r="AD8" s="489">
        <f t="shared" si="6"/>
        <v>-11759.42</v>
      </c>
      <c r="AE8" s="489">
        <f>ROUND(((AE5)*(AE4/12))+((SUM(AE6:AE7)/2)*(AE4/12)),2)</f>
        <v>-14932.13</v>
      </c>
      <c r="AF8" s="560">
        <f>ROUND(((AF5+AF9+AF10+AF11)*(AF4/12))+((SUM(AF6:AF7)/2)*(AF4/12)),2)</f>
        <v>-18683.73</v>
      </c>
      <c r="AG8" s="489">
        <f>ROUND(((AG5)*(AG4/12))+((SUM(AG6:AG7)/2)*(AG4/12)),2)</f>
        <v>-20915.16</v>
      </c>
      <c r="AI8" s="499" t="s">
        <v>297</v>
      </c>
      <c r="AJ8" s="528">
        <v>805120</v>
      </c>
      <c r="AK8" s="358" t="s">
        <v>288</v>
      </c>
      <c r="AL8" s="358" t="s">
        <v>289</v>
      </c>
      <c r="AM8" s="381">
        <f>IF((SUMIF(V3:AG3,AI4,V6:AG6)+SUMIF(V3:AG3,AI4,V7:AG7))&lt;0,-(SUMIF(V3:AG3,AI4,V6:AG6)+SUMIF(V3:AG3,AI4,V7:AG7)),0)</f>
        <v>0</v>
      </c>
      <c r="AN8" s="500">
        <f>IF((SUMIF(V3:AG3,AI4,V6:AG6)+SUMIF(V3:AG3,AI4,V7:AG7))&gt;0,(SUMIF(V3:AG3,AI4,V6:AG6)+SUMIF(V3:AG3,AI4,V7:AG7)),0)</f>
        <v>0</v>
      </c>
      <c r="AR8" s="630">
        <v>419600</v>
      </c>
      <c r="AS8" s="625"/>
      <c r="AT8" s="576">
        <v>2182.86</v>
      </c>
      <c r="AU8" s="588"/>
      <c r="AV8" s="576"/>
      <c r="AW8" s="576">
        <v>1993.44</v>
      </c>
      <c r="AX8" s="588"/>
      <c r="AY8" s="673">
        <f>189.42</f>
        <v>189.42</v>
      </c>
      <c r="AZ8" s="577"/>
    </row>
    <row r="9" spans="1:52">
      <c r="B9" s="481" t="s">
        <v>262</v>
      </c>
      <c r="C9" s="482">
        <f t="shared" si="4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607">
        <v>1478321.29</v>
      </c>
      <c r="T9" s="607">
        <v>1478321.29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482">
        <v>0</v>
      </c>
      <c r="AF9" s="563">
        <v>0</v>
      </c>
      <c r="AG9" s="482">
        <v>0</v>
      </c>
      <c r="AI9" s="499" t="s">
        <v>11</v>
      </c>
      <c r="AJ9" s="528">
        <v>191010</v>
      </c>
      <c r="AK9" s="358" t="s">
        <v>288</v>
      </c>
      <c r="AL9" s="358" t="s">
        <v>289</v>
      </c>
      <c r="AM9" s="381">
        <v>0</v>
      </c>
      <c r="AN9" s="500">
        <v>0</v>
      </c>
      <c r="AR9" s="630">
        <v>191010</v>
      </c>
      <c r="AS9" s="625"/>
      <c r="AT9" s="576"/>
      <c r="AU9" s="588"/>
      <c r="AV9" s="576"/>
      <c r="AW9" s="576"/>
      <c r="AX9" s="588"/>
      <c r="AY9" s="576"/>
      <c r="AZ9" s="656">
        <v>189.42</v>
      </c>
    </row>
    <row r="10" spans="1:52" ht="16" thickBot="1">
      <c r="B10" s="481" t="s">
        <v>263</v>
      </c>
      <c r="C10" s="482">
        <f t="shared" si="4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607">
        <v>1484092.96</v>
      </c>
      <c r="T10" s="607">
        <v>1484092.96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482">
        <v>0</v>
      </c>
      <c r="AF10" s="563">
        <v>0</v>
      </c>
      <c r="AG10" s="482">
        <v>0</v>
      </c>
      <c r="AI10" s="501" t="str">
        <f>AI9</f>
        <v>Tracker Transfer</v>
      </c>
      <c r="AJ10" s="529">
        <f>AJ41</f>
        <v>191000</v>
      </c>
      <c r="AK10" s="529" t="str">
        <f>AK41</f>
        <v>GD</v>
      </c>
      <c r="AL10" s="529" t="str">
        <f>AL41</f>
        <v>WA</v>
      </c>
      <c r="AM10" s="503">
        <v>0</v>
      </c>
      <c r="AN10" s="521">
        <f>AM9</f>
        <v>0</v>
      </c>
      <c r="AR10" s="628" t="s">
        <v>345</v>
      </c>
      <c r="AS10" s="637"/>
      <c r="AT10" s="573"/>
      <c r="AU10" s="584"/>
      <c r="AV10" s="573"/>
      <c r="AW10" s="573"/>
      <c r="AX10" s="584"/>
      <c r="AY10" s="573"/>
      <c r="AZ10" s="574"/>
    </row>
    <row r="11" spans="1:52" ht="16" thickBot="1">
      <c r="B11" s="481" t="s">
        <v>264</v>
      </c>
      <c r="C11" s="482">
        <f t="shared" si="4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607">
        <v>101496.36</v>
      </c>
      <c r="T11" s="607">
        <v>101496.36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482">
        <v>0</v>
      </c>
      <c r="AF11" s="563">
        <v>0</v>
      </c>
      <c r="AG11" s="482">
        <v>0</v>
      </c>
      <c r="AI11" s="516"/>
      <c r="AJ11" s="530"/>
      <c r="AK11" s="517"/>
      <c r="AL11" s="517"/>
      <c r="AM11" s="517" t="s">
        <v>159</v>
      </c>
      <c r="AN11" s="518">
        <f>SUM(AM5:AM10)-SUM(AN5:AN10)</f>
        <v>8.8107299234252423E-12</v>
      </c>
      <c r="AR11" s="630">
        <v>431600</v>
      </c>
      <c r="AS11" s="638">
        <v>1691.28</v>
      </c>
      <c r="AT11" s="576"/>
      <c r="AU11" s="588"/>
      <c r="AV11" s="576">
        <v>1881.21</v>
      </c>
      <c r="AW11" s="576"/>
      <c r="AX11" s="588"/>
      <c r="AY11" s="659">
        <v>189.93</v>
      </c>
      <c r="AZ11" s="577"/>
    </row>
    <row r="12" spans="1:52">
      <c r="B12" s="481" t="s">
        <v>148</v>
      </c>
      <c r="C12" s="482">
        <f t="shared" si="4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606">
        <v>0</v>
      </c>
      <c r="T12" s="606">
        <v>0</v>
      </c>
      <c r="U12" s="482">
        <v>0</v>
      </c>
      <c r="V12" s="482">
        <v>0</v>
      </c>
      <c r="W12" s="482">
        <v>0</v>
      </c>
      <c r="X12" s="482">
        <v>0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  <c r="AG12" s="482">
        <v>0</v>
      </c>
      <c r="AR12" s="633">
        <v>191010</v>
      </c>
      <c r="AS12" s="603"/>
      <c r="AT12" s="576"/>
      <c r="AU12" s="588"/>
      <c r="AV12" s="576"/>
      <c r="AW12" s="576"/>
      <c r="AX12" s="588"/>
      <c r="AY12" s="576"/>
      <c r="AZ12" s="656">
        <v>189.93</v>
      </c>
    </row>
    <row r="13" spans="1:52" ht="16" thickBot="1">
      <c r="B13" s="481" t="s">
        <v>56</v>
      </c>
      <c r="C13" s="541">
        <f>SUM(C5:C12)</f>
        <v>-7507616.7420589933</v>
      </c>
      <c r="D13" s="541"/>
      <c r="E13" s="541">
        <f>SUM(E5:E12)</f>
        <v>2712780.2600000002</v>
      </c>
      <c r="F13" s="541">
        <f t="shared" ref="F13:H13" si="7">SUM(F5:F12)</f>
        <v>2255013.9900000002</v>
      </c>
      <c r="G13" s="541">
        <f>SUM(G5:G12)</f>
        <v>-33498.738666789999</v>
      </c>
      <c r="H13" s="541">
        <f t="shared" si="7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f t="shared" ref="S13:Y13" si="8">SUM(S5:S12)</f>
        <v>1779828.4686352164</v>
      </c>
      <c r="T13" s="541">
        <f t="shared" si="8"/>
        <v>1709891.116411211</v>
      </c>
      <c r="U13" s="541">
        <f t="shared" si="8"/>
        <v>-235817.60472778248</v>
      </c>
      <c r="V13" s="541">
        <f t="shared" si="8"/>
        <v>-1155261.6318077815</v>
      </c>
      <c r="W13" s="541">
        <f t="shared" si="8"/>
        <v>-1883709.9079167806</v>
      </c>
      <c r="X13" s="541">
        <f t="shared" si="8"/>
        <v>-873187.8304517779</v>
      </c>
      <c r="Y13" s="541">
        <f t="shared" si="8"/>
        <v>-2959310.5273637786</v>
      </c>
      <c r="Z13" s="541">
        <f>SUM(Z5:Z12)</f>
        <v>-3131335.1056017778</v>
      </c>
      <c r="AA13" s="541">
        <f t="shared" ref="AA13:AG13" si="9">SUM(AA5:AA12)</f>
        <v>-3303665.3811117788</v>
      </c>
      <c r="AB13" s="541">
        <f t="shared" si="9"/>
        <v>-3655951.1635297774</v>
      </c>
      <c r="AC13" s="541">
        <f t="shared" si="9"/>
        <v>-3747278.063169776</v>
      </c>
      <c r="AD13" s="541">
        <f t="shared" si="9"/>
        <v>-4948357.7972317785</v>
      </c>
      <c r="AE13" s="541">
        <f t="shared" si="9"/>
        <v>-6093381.4805967789</v>
      </c>
      <c r="AF13" s="541">
        <f t="shared" si="9"/>
        <v>-7722519.1867867773</v>
      </c>
      <c r="AG13" s="541">
        <f t="shared" si="9"/>
        <v>-7743434.3467867775</v>
      </c>
      <c r="AR13" s="633">
        <v>431600</v>
      </c>
      <c r="AS13" s="603">
        <v>94.58</v>
      </c>
      <c r="AT13" s="576"/>
      <c r="AU13" s="588"/>
      <c r="AV13" s="576"/>
      <c r="AW13" s="576"/>
      <c r="AX13" s="588"/>
      <c r="AY13" s="576"/>
      <c r="AZ13" s="657">
        <v>94.58</v>
      </c>
    </row>
    <row r="14" spans="1:52" ht="16" thickTop="1">
      <c r="B14" s="481" t="s">
        <v>260</v>
      </c>
      <c r="E14" s="482" t="e">
        <f ca="1">_xll.Get_Balance(E3,"YTD","USD","Total","A","","001",$A$3,"GD","WA","DL")</f>
        <v>#NAME?</v>
      </c>
      <c r="F14" s="482" t="e">
        <f ca="1">_xll.Get_Balance(F3,"YTD","USD","Total","A","","001",$A$3,"GD","WA","DL")</f>
        <v>#NAME?</v>
      </c>
      <c r="G14" s="482" t="e">
        <f ca="1">_xll.Get_Balance(G3,"YTD","USD","Total","A","","001",$A$3,"GD","WA","DL")</f>
        <v>#NAME?</v>
      </c>
      <c r="H14" s="482" t="e">
        <f ca="1">_xll.Get_Balance(H3,"YTD","USD","Total","A","","001",$A$3,"GD","WA","DL")</f>
        <v>#NAME?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606" t="e">
        <f ca="1">_xll.Get_Balance(S3,"YTD","USD","Total","A","","001",$A$3,"GD","WA","DL")</f>
        <v>#NAME?</v>
      </c>
      <c r="T14" s="606" t="e">
        <f ca="1">_xll.Get_Balance(T3,"YTD","USD","Total","A","","001",$A$3,"GD","WA","DL")</f>
        <v>#NAME?</v>
      </c>
      <c r="U14" s="482" t="e">
        <f ca="1">_xll.Get_Balance(U3,"YTD","USD","Total","A","","001",$A$3,"GD","WA","DL")</f>
        <v>#NAME?</v>
      </c>
      <c r="V14" s="482" t="e">
        <f ca="1">_xll.Get_Balance(V3,"YTD","USD","Total","A","","001",$A$3,"GD","WA","DL")</f>
        <v>#NAME?</v>
      </c>
      <c r="W14" s="482" t="e">
        <f ca="1">_xll.Get_Balance(W3,"YTD","USD","Total","A","","001",$A$3,"GD","WA","DL")</f>
        <v>#NAME?</v>
      </c>
      <c r="X14" s="482" t="e">
        <f ca="1">_xll.Get_Balance(X3,"YTD","USD","Total","A","","001",$A$3,"GD","WA","DL")</f>
        <v>#NAME?</v>
      </c>
      <c r="Y14" s="482" t="e">
        <f ca="1">_xll.Get_Balance(Y3,"YTD","USD","Total","A","","001",$A$3,"GD","WA","DL")</f>
        <v>#NAME?</v>
      </c>
      <c r="Z14" s="482" t="e">
        <f ca="1">_xll.Get_Balance(Z3,"YTD","USD","Total","A","","001",$A$3,"GD","WA","DL")</f>
        <v>#NAME?</v>
      </c>
      <c r="AA14" s="482" t="e">
        <f ca="1">_xll.Get_Balance(AA3,"YTD","USD","Total","A","","001",$A$3,"GD","WA","DL")</f>
        <v>#NAME?</v>
      </c>
      <c r="AB14" s="482" t="e">
        <f ca="1">_xll.Get_Balance(AB3,"YTD","USD","Total","A","","001",$A$3,"GD","WA","DL")</f>
        <v>#NAME?</v>
      </c>
      <c r="AC14" s="482" t="e">
        <f ca="1">_xll.Get_Balance(AC3,"YTD","USD","Total","A","","001",$A$3,"GD","WA","DL")</f>
        <v>#NAME?</v>
      </c>
      <c r="AD14" s="482" t="e">
        <f ca="1">_xll.Get_Balance(AD3,"YTD","USD","Total","A","","001",$A$3,"GD","WA","DL")</f>
        <v>#NAME?</v>
      </c>
      <c r="AE14" s="482" t="e">
        <f ca="1">_xll.Get_Balance(AE3,"YTD","USD","Total","A","","001",$A$3,"GD","WA","DL")</f>
        <v>#NAME?</v>
      </c>
      <c r="AF14" s="482" t="e">
        <f ca="1">_xll.Get_Balance(AF3,"YTD","USD","Total","A","","001",$A$3,"GD","WA","DL")</f>
        <v>#NAME?</v>
      </c>
      <c r="AG14" s="482" t="e">
        <f ca="1">_xll.Get_Balance(AG3,"YTD","USD","Total","A","","001",$A$3,"GD","WA","DL")</f>
        <v>#NAME?</v>
      </c>
      <c r="AR14" s="633">
        <v>191010</v>
      </c>
      <c r="AS14" s="603"/>
      <c r="AT14" s="576">
        <v>69937.350000000006</v>
      </c>
      <c r="AU14" s="588"/>
      <c r="AV14" s="576"/>
      <c r="AW14" s="576"/>
      <c r="AX14" s="588"/>
      <c r="AY14" s="640">
        <v>69937.350000000006</v>
      </c>
      <c r="AZ14" s="577"/>
    </row>
    <row r="15" spans="1:52">
      <c r="B15" s="481" t="s">
        <v>245</v>
      </c>
      <c r="E15" s="482" t="e">
        <f t="shared" ref="E15:H15" ca="1" si="10">E13-E14</f>
        <v>#NAME?</v>
      </c>
      <c r="F15" s="482" t="e">
        <f t="shared" ca="1" si="10"/>
        <v>#NAME?</v>
      </c>
      <c r="G15" s="482" t="e">
        <f t="shared" ca="1" si="10"/>
        <v>#NAME?</v>
      </c>
      <c r="H15" s="482" t="e">
        <f t="shared" ca="1" si="10"/>
        <v>#NAME?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606" t="e">
        <f ca="1">S13-S14</f>
        <v>#NAME?</v>
      </c>
      <c r="T15" s="606" t="e">
        <f ca="1">T13-T14</f>
        <v>#NAME?</v>
      </c>
      <c r="U15" s="482" t="e">
        <f ca="1">U13-U14</f>
        <v>#NAME?</v>
      </c>
      <c r="V15" s="482" t="e">
        <f ca="1">V13-V14</f>
        <v>#NAME?</v>
      </c>
      <c r="W15" s="482" t="e">
        <f t="shared" ref="W15:AG15" ca="1" si="11">W13-W14</f>
        <v>#NAME?</v>
      </c>
      <c r="X15" s="482" t="e">
        <f t="shared" ca="1" si="11"/>
        <v>#NAME?</v>
      </c>
      <c r="Y15" s="482" t="e">
        <f t="shared" ca="1" si="11"/>
        <v>#NAME?</v>
      </c>
      <c r="Z15" s="482" t="e">
        <f t="shared" ca="1" si="11"/>
        <v>#NAME?</v>
      </c>
      <c r="AA15" s="482" t="e">
        <f t="shared" ca="1" si="11"/>
        <v>#NAME?</v>
      </c>
      <c r="AB15" s="482" t="e">
        <f t="shared" ca="1" si="11"/>
        <v>#NAME?</v>
      </c>
      <c r="AC15" s="482" t="e">
        <f t="shared" ca="1" si="11"/>
        <v>#NAME?</v>
      </c>
      <c r="AD15" s="482" t="e">
        <f t="shared" ca="1" si="11"/>
        <v>#NAME?</v>
      </c>
      <c r="AE15" s="482" t="e">
        <f t="shared" ca="1" si="11"/>
        <v>#NAME?</v>
      </c>
      <c r="AF15" s="482" t="e">
        <f t="shared" ca="1" si="11"/>
        <v>#NAME?</v>
      </c>
      <c r="AG15" s="482" t="e">
        <f t="shared" ca="1" si="11"/>
        <v>#NAME?</v>
      </c>
      <c r="AR15" s="633">
        <v>805120</v>
      </c>
      <c r="AS15" s="482">
        <v>69842.77</v>
      </c>
      <c r="AU15" s="588"/>
      <c r="AX15" s="588"/>
      <c r="AZ15" s="678">
        <v>69842.77</v>
      </c>
    </row>
    <row r="16" spans="1:52" ht="16" thickBot="1">
      <c r="A16" s="483" t="s">
        <v>268</v>
      </c>
      <c r="S16" s="609"/>
      <c r="T16" s="609"/>
      <c r="AR16" s="632" t="s">
        <v>343</v>
      </c>
      <c r="AS16" s="573"/>
      <c r="AT16" s="573"/>
      <c r="AU16" s="584"/>
      <c r="AV16" s="573"/>
      <c r="AW16" s="573"/>
      <c r="AX16" s="584"/>
      <c r="AY16" s="573"/>
      <c r="AZ16" s="574"/>
    </row>
    <row r="17" spans="1:52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R17" s="633">
        <v>431600</v>
      </c>
      <c r="AS17" s="482">
        <v>3853.24</v>
      </c>
      <c r="AU17" s="588"/>
      <c r="AV17" s="482">
        <v>3854.27</v>
      </c>
      <c r="AX17" s="588"/>
      <c r="AY17" s="677">
        <v>1.03</v>
      </c>
      <c r="AZ17" s="577"/>
    </row>
    <row r="18" spans="1:52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/>
      <c r="U18" s="484">
        <v>201412</v>
      </c>
      <c r="V18" s="484">
        <v>201501</v>
      </c>
      <c r="W18" s="484">
        <f t="shared" ref="W18:AE18" si="12">V18+1</f>
        <v>201502</v>
      </c>
      <c r="X18" s="484">
        <f t="shared" si="12"/>
        <v>201503</v>
      </c>
      <c r="Y18" s="484">
        <f t="shared" si="12"/>
        <v>201504</v>
      </c>
      <c r="Z18" s="484">
        <f t="shared" si="12"/>
        <v>201505</v>
      </c>
      <c r="AA18" s="484">
        <f t="shared" si="12"/>
        <v>201506</v>
      </c>
      <c r="AB18" s="484">
        <f t="shared" si="12"/>
        <v>201507</v>
      </c>
      <c r="AC18" s="484">
        <f t="shared" si="12"/>
        <v>201508</v>
      </c>
      <c r="AD18" s="484">
        <f t="shared" si="12"/>
        <v>201509</v>
      </c>
      <c r="AE18" s="484">
        <f t="shared" si="12"/>
        <v>201510</v>
      </c>
      <c r="AF18" s="484">
        <f>AE18+1</f>
        <v>201511</v>
      </c>
      <c r="AG18" s="484">
        <f t="shared" ref="AG18" si="13">AF18+1</f>
        <v>201512</v>
      </c>
      <c r="AR18" s="633">
        <v>191010</v>
      </c>
      <c r="AU18" s="588"/>
      <c r="AX18" s="588"/>
      <c r="AZ18" s="656">
        <v>1.03</v>
      </c>
    </row>
    <row r="19" spans="1:52">
      <c r="A19" s="483"/>
      <c r="B19" s="481" t="s">
        <v>37</v>
      </c>
      <c r="C19" s="491">
        <f>SUM(V19:AG19)</f>
        <v>83964548</v>
      </c>
      <c r="D19" s="491">
        <f t="shared" ref="D19:D28" si="14">SUM(G19:R19)</f>
        <v>118507804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/>
      <c r="U19" s="543">
        <v>19056609</v>
      </c>
      <c r="V19" s="543">
        <f>Jan!$G23</f>
        <v>19909674</v>
      </c>
      <c r="W19" s="543">
        <f>Feb!$G23</f>
        <v>13011547</v>
      </c>
      <c r="X19" s="543">
        <f>Mar!$G23</f>
        <v>10479005</v>
      </c>
      <c r="Y19" s="543">
        <f>Apr!$G23</f>
        <v>7714478</v>
      </c>
      <c r="Z19" s="543">
        <f>May!$G23</f>
        <v>3297360</v>
      </c>
      <c r="AA19" s="543">
        <f>Jun!$G23</f>
        <v>1968489</v>
      </c>
      <c r="AB19" s="543">
        <f>Jul!$G23</f>
        <v>2145139</v>
      </c>
      <c r="AC19" s="543">
        <f>Aug!$G23</f>
        <v>1956853</v>
      </c>
      <c r="AD19" s="543">
        <f>Sep!$G23</f>
        <v>3273457</v>
      </c>
      <c r="AE19" s="543">
        <f>Oct!$G23</f>
        <v>4833518</v>
      </c>
      <c r="AF19" s="543">
        <f>Nov!$G23</f>
        <v>15375028</v>
      </c>
      <c r="AG19" s="543">
        <f>Dec!$G23</f>
        <v>0</v>
      </c>
      <c r="AR19" s="632" t="s">
        <v>344</v>
      </c>
      <c r="AS19" s="573"/>
      <c r="AT19" s="573"/>
      <c r="AU19" s="584"/>
      <c r="AV19" s="573"/>
      <c r="AW19" s="573"/>
      <c r="AX19" s="584"/>
      <c r="AY19" s="573"/>
      <c r="AZ19" s="574"/>
    </row>
    <row r="20" spans="1:52">
      <c r="A20" s="483"/>
      <c r="B20" s="481" t="s">
        <v>38</v>
      </c>
      <c r="C20" s="491">
        <f t="shared" ref="C20:C27" si="15">SUM(V20:AG20)</f>
        <v>35336899</v>
      </c>
      <c r="D20" s="491">
        <f t="shared" si="14"/>
        <v>47081391</v>
      </c>
      <c r="E20" s="491">
        <v>1599551</v>
      </c>
      <c r="F20" s="491">
        <v>3880001</v>
      </c>
      <c r="G20" s="491">
        <v>5651303</v>
      </c>
      <c r="H20" s="491">
        <v>7518125</v>
      </c>
      <c r="I20" s="543">
        <v>7025543</v>
      </c>
      <c r="J20" s="543">
        <v>6903553</v>
      </c>
      <c r="K20" s="543">
        <v>5310734</v>
      </c>
      <c r="L20" s="543">
        <v>3390429</v>
      </c>
      <c r="M20" s="543">
        <v>2183609</v>
      </c>
      <c r="N20" s="543">
        <v>1741655</v>
      </c>
      <c r="O20" s="543">
        <v>1476567</v>
      </c>
      <c r="P20" s="543">
        <v>1364087</v>
      </c>
      <c r="Q20" s="543">
        <v>1739755</v>
      </c>
      <c r="R20" s="543">
        <v>2776031</v>
      </c>
      <c r="S20" s="543">
        <v>6141604</v>
      </c>
      <c r="T20" s="543"/>
      <c r="U20" s="543">
        <v>6045485</v>
      </c>
      <c r="V20" s="543">
        <f>Jan!$G24</f>
        <v>6173752</v>
      </c>
      <c r="W20" s="543">
        <f>Feb!$G24</f>
        <v>5630395</v>
      </c>
      <c r="X20" s="543">
        <f>Mar!$G24</f>
        <v>4030672</v>
      </c>
      <c r="Y20" s="543">
        <f>Apr!$G24</f>
        <v>3448422</v>
      </c>
      <c r="Z20" s="543">
        <f>May!$G24</f>
        <v>1901440</v>
      </c>
      <c r="AA20" s="543">
        <f>Jun!$G24</f>
        <v>1561904</v>
      </c>
      <c r="AB20" s="543">
        <f>Jul!$G24</f>
        <v>1323231</v>
      </c>
      <c r="AC20" s="543">
        <f>Aug!$G24</f>
        <v>1284422</v>
      </c>
      <c r="AD20" s="543">
        <f>Sep!$G24</f>
        <v>1854848</v>
      </c>
      <c r="AE20" s="543">
        <f>Oct!$G25</f>
        <v>2624293</v>
      </c>
      <c r="AF20" s="543">
        <f>Nov!$G25</f>
        <v>5503520</v>
      </c>
      <c r="AG20" s="543">
        <f>Dec!$G24</f>
        <v>0</v>
      </c>
      <c r="AR20" s="633">
        <v>431600</v>
      </c>
      <c r="AS20" s="482">
        <v>3215.64</v>
      </c>
      <c r="AU20" s="588"/>
      <c r="AV20" s="482">
        <v>3216.67</v>
      </c>
      <c r="AX20" s="588"/>
      <c r="AY20" s="677">
        <v>1.03</v>
      </c>
      <c r="AZ20" s="577"/>
    </row>
    <row r="21" spans="1:52" hidden="1">
      <c r="A21" s="483"/>
      <c r="B21" s="481" t="s">
        <v>39</v>
      </c>
      <c r="C21" s="491">
        <f t="shared" si="15"/>
        <v>0</v>
      </c>
      <c r="D21" s="491">
        <f t="shared" si="14"/>
        <v>0</v>
      </c>
      <c r="E21" s="491">
        <v>0</v>
      </c>
      <c r="F21" s="491">
        <v>0</v>
      </c>
      <c r="G21" s="491">
        <v>0</v>
      </c>
      <c r="H21" s="491">
        <v>0</v>
      </c>
      <c r="I21" s="543"/>
      <c r="J21" s="543"/>
      <c r="K21" s="543"/>
      <c r="L21" s="543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3"/>
      <c r="AF21" s="543"/>
      <c r="AG21" s="543"/>
      <c r="AR21" s="588"/>
      <c r="AU21" s="588"/>
      <c r="AX21" s="588"/>
      <c r="AZ21" s="577"/>
    </row>
    <row r="22" spans="1:52">
      <c r="A22" s="483"/>
      <c r="B22" s="481" t="s">
        <v>40</v>
      </c>
      <c r="C22" s="491">
        <f t="shared" si="15"/>
        <v>4051936</v>
      </c>
      <c r="D22" s="491">
        <f t="shared" si="14"/>
        <v>4993299</v>
      </c>
      <c r="E22" s="491">
        <v>344046</v>
      </c>
      <c r="F22" s="491">
        <v>595792</v>
      </c>
      <c r="G22" s="491">
        <v>396185</v>
      </c>
      <c r="H22" s="491">
        <v>588721</v>
      </c>
      <c r="I22" s="543">
        <v>534459</v>
      </c>
      <c r="J22" s="543">
        <v>540817</v>
      </c>
      <c r="K22" s="543">
        <v>425342</v>
      </c>
      <c r="L22" s="543">
        <v>407197</v>
      </c>
      <c r="M22" s="543">
        <v>340947</v>
      </c>
      <c r="N22" s="543">
        <v>361843</v>
      </c>
      <c r="O22" s="543">
        <v>251184</v>
      </c>
      <c r="P22" s="543">
        <v>332621</v>
      </c>
      <c r="Q22" s="543">
        <v>330926</v>
      </c>
      <c r="R22" s="543">
        <v>483057</v>
      </c>
      <c r="S22" s="543">
        <v>518418</v>
      </c>
      <c r="T22" s="543"/>
      <c r="U22" s="543">
        <v>377457</v>
      </c>
      <c r="V22" s="543">
        <f>Jan!$G26</f>
        <v>513680</v>
      </c>
      <c r="W22" s="543">
        <f>Feb!$G26</f>
        <v>431734</v>
      </c>
      <c r="X22" s="543">
        <f>Mar!$G26</f>
        <v>335852</v>
      </c>
      <c r="Y22" s="543">
        <f>Apr!$G26</f>
        <v>432834</v>
      </c>
      <c r="Z22" s="543">
        <f>May!$G26</f>
        <v>249954</v>
      </c>
      <c r="AA22" s="543">
        <f>Jun!$G26</f>
        <v>322862</v>
      </c>
      <c r="AB22" s="543">
        <f>Jul!$G26</f>
        <v>247078</v>
      </c>
      <c r="AC22" s="543">
        <f>Aug!$G26</f>
        <v>274690</v>
      </c>
      <c r="AD22" s="543">
        <f>Sep!$G26</f>
        <v>336073</v>
      </c>
      <c r="AE22" s="543">
        <f>Oct!$G27</f>
        <v>365802</v>
      </c>
      <c r="AF22" s="543">
        <f>Nov!$G27</f>
        <v>541377</v>
      </c>
      <c r="AG22" s="543">
        <f>Dec!$G26</f>
        <v>0</v>
      </c>
      <c r="AR22" s="634">
        <v>191010</v>
      </c>
      <c r="AS22" s="581">
        <v>3215.64</v>
      </c>
      <c r="AT22" s="581"/>
      <c r="AU22" s="591"/>
      <c r="AV22" s="581"/>
      <c r="AW22" s="581"/>
      <c r="AX22" s="591"/>
      <c r="AY22" s="581"/>
      <c r="AZ22" s="671">
        <v>1.03</v>
      </c>
    </row>
    <row r="23" spans="1:52" hidden="1">
      <c r="A23" s="483"/>
      <c r="B23" s="481" t="s">
        <v>41</v>
      </c>
      <c r="C23" s="491">
        <f t="shared" si="15"/>
        <v>0</v>
      </c>
      <c r="D23" s="491">
        <f t="shared" si="14"/>
        <v>0</v>
      </c>
      <c r="E23" s="491">
        <v>0</v>
      </c>
      <c r="F23" s="491">
        <v>0</v>
      </c>
      <c r="G23" s="491">
        <v>0</v>
      </c>
      <c r="H23" s="491">
        <v>0</v>
      </c>
      <c r="I23" s="543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3"/>
      <c r="AC23" s="543"/>
      <c r="AD23" s="543"/>
      <c r="AE23" s="543"/>
      <c r="AF23" s="543"/>
      <c r="AG23" s="543"/>
      <c r="AX23" s="588"/>
    </row>
    <row r="24" spans="1:52">
      <c r="A24" s="483"/>
      <c r="B24" s="481" t="s">
        <v>42</v>
      </c>
      <c r="C24" s="491">
        <f t="shared" si="15"/>
        <v>0</v>
      </c>
      <c r="D24" s="491">
        <f t="shared" si="14"/>
        <v>0</v>
      </c>
      <c r="E24" s="491">
        <v>0</v>
      </c>
      <c r="F24" s="491">
        <v>0</v>
      </c>
      <c r="G24" s="491">
        <v>0</v>
      </c>
      <c r="H24" s="491">
        <v>0</v>
      </c>
      <c r="I24" s="543">
        <v>0</v>
      </c>
      <c r="J24" s="543">
        <v>0</v>
      </c>
      <c r="K24" s="543">
        <v>0</v>
      </c>
      <c r="L24" s="543">
        <v>0</v>
      </c>
      <c r="M24" s="543">
        <v>0</v>
      </c>
      <c r="N24" s="543">
        <v>0</v>
      </c>
      <c r="O24" s="543">
        <v>0</v>
      </c>
      <c r="P24" s="543">
        <v>0</v>
      </c>
      <c r="Q24" s="543">
        <v>0</v>
      </c>
      <c r="R24" s="543">
        <v>0</v>
      </c>
      <c r="S24" s="543">
        <v>0</v>
      </c>
      <c r="T24" s="543"/>
      <c r="U24" s="543">
        <v>0</v>
      </c>
      <c r="V24" s="543">
        <f>Jan!$G28</f>
        <v>0</v>
      </c>
      <c r="W24" s="543">
        <f>Feb!$G28</f>
        <v>0</v>
      </c>
      <c r="X24" s="543">
        <f>Mar!$G28</f>
        <v>0</v>
      </c>
      <c r="Y24" s="543">
        <f>Apr!$G28</f>
        <v>0</v>
      </c>
      <c r="Z24" s="543">
        <f>May!$G28</f>
        <v>0</v>
      </c>
      <c r="AA24" s="543">
        <f>Jun!$G28</f>
        <v>0</v>
      </c>
      <c r="AB24" s="543">
        <f>Jul!$G28</f>
        <v>0</v>
      </c>
      <c r="AC24" s="543">
        <f>Aug!$G28</f>
        <v>0</v>
      </c>
      <c r="AD24" s="543">
        <f>Sep!$G28</f>
        <v>0</v>
      </c>
      <c r="AE24" s="543">
        <f>Oct!$G29</f>
        <v>0</v>
      </c>
      <c r="AF24" s="543">
        <f>Nov!$G29</f>
        <v>0</v>
      </c>
      <c r="AG24" s="543">
        <f>Dec!$G28</f>
        <v>0</v>
      </c>
      <c r="AX24" s="576"/>
    </row>
    <row r="25" spans="1:52" hidden="1">
      <c r="A25" s="483"/>
      <c r="B25" s="481" t="s">
        <v>43</v>
      </c>
      <c r="C25" s="491">
        <f t="shared" si="15"/>
        <v>0</v>
      </c>
      <c r="D25" s="491">
        <f t="shared" si="14"/>
        <v>0</v>
      </c>
      <c r="E25" s="491">
        <v>0</v>
      </c>
      <c r="F25" s="491">
        <v>0</v>
      </c>
      <c r="G25" s="491">
        <v>0</v>
      </c>
      <c r="H25" s="491">
        <v>0</v>
      </c>
      <c r="I25" s="543"/>
      <c r="J25" s="543"/>
      <c r="K25" s="543"/>
      <c r="L25" s="543"/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3"/>
      <c r="AF25" s="543"/>
      <c r="AG25" s="543"/>
      <c r="AR25" s="483"/>
      <c r="AS25" s="483"/>
      <c r="AT25" s="483"/>
      <c r="AU25" s="483"/>
      <c r="AV25" s="483"/>
      <c r="AW25" s="483"/>
      <c r="AX25" s="483"/>
      <c r="AY25" s="483"/>
      <c r="AZ25" s="483"/>
    </row>
    <row r="26" spans="1:52">
      <c r="A26" s="483"/>
      <c r="B26" s="481" t="s">
        <v>74</v>
      </c>
      <c r="C26" s="491">
        <f t="shared" si="15"/>
        <v>26235211</v>
      </c>
      <c r="D26" s="491">
        <f t="shared" si="14"/>
        <v>30501971</v>
      </c>
      <c r="E26" s="491">
        <v>1818699</v>
      </c>
      <c r="F26" s="491">
        <v>2531895</v>
      </c>
      <c r="G26" s="491">
        <v>2936207</v>
      </c>
      <c r="H26" s="491">
        <v>3675604</v>
      </c>
      <c r="I26" s="543">
        <v>3517013</v>
      </c>
      <c r="J26" s="543">
        <v>3103551</v>
      </c>
      <c r="K26" s="543">
        <v>2882510</v>
      </c>
      <c r="L26" s="543">
        <v>2426511</v>
      </c>
      <c r="M26" s="543">
        <v>2096539</v>
      </c>
      <c r="N26" s="543">
        <v>1865473</v>
      </c>
      <c r="O26" s="543">
        <v>1934510</v>
      </c>
      <c r="P26" s="543">
        <v>1781233</v>
      </c>
      <c r="Q26" s="543">
        <v>1975142</v>
      </c>
      <c r="R26" s="543">
        <v>2307678</v>
      </c>
      <c r="S26" s="543">
        <v>3052956</v>
      </c>
      <c r="T26" s="543"/>
      <c r="U26" s="543">
        <v>3180451</v>
      </c>
      <c r="V26" s="543">
        <f>Jan!$G30</f>
        <v>3286166</v>
      </c>
      <c r="W26" s="543">
        <f>Feb!$G30</f>
        <v>2735718</v>
      </c>
      <c r="X26" s="543">
        <f>Mar!$G30</f>
        <v>2608561</v>
      </c>
      <c r="Y26" s="543">
        <f>Apr!$G30</f>
        <v>2436951</v>
      </c>
      <c r="Z26" s="543">
        <f>May!$G30</f>
        <v>2203136</v>
      </c>
      <c r="AA26" s="543">
        <f>Jun!$G30</f>
        <v>1941783</v>
      </c>
      <c r="AB26" s="543">
        <f>Jul!$G30</f>
        <v>1912819</v>
      </c>
      <c r="AC26" s="543">
        <f>Aug!$G30</f>
        <v>1943542</v>
      </c>
      <c r="AD26" s="543">
        <f>Sep!$G30</f>
        <v>1945064</v>
      </c>
      <c r="AE26" s="543">
        <f>Oct!$G31</f>
        <v>2201297</v>
      </c>
      <c r="AF26" s="543">
        <f>Nov!$G31</f>
        <v>3020174</v>
      </c>
      <c r="AG26" s="543">
        <f>Dec!$G30</f>
        <v>0</v>
      </c>
      <c r="AR26" s="483"/>
      <c r="AS26" s="483"/>
      <c r="AT26" s="483"/>
      <c r="AU26" s="483"/>
      <c r="AV26" s="483"/>
      <c r="AW26" s="528">
        <v>191010</v>
      </c>
      <c r="AX26" s="576"/>
      <c r="AY26" s="576">
        <f>AY14</f>
        <v>69937.350000000006</v>
      </c>
      <c r="AZ26" s="482">
        <f>AZ5+AZ9+AZ12+AZ18+AZ22</f>
        <v>70318.759999999995</v>
      </c>
    </row>
    <row r="27" spans="1:52" ht="16" thickBot="1">
      <c r="A27" s="483"/>
      <c r="B27" s="481" t="s">
        <v>21</v>
      </c>
      <c r="C27" s="491">
        <f t="shared" si="15"/>
        <v>149588594</v>
      </c>
      <c r="D27" s="542">
        <f t="shared" si="14"/>
        <v>201084465</v>
      </c>
      <c r="E27" s="542">
        <f>SUM(E19:E26)</f>
        <v>6409834</v>
      </c>
      <c r="F27" s="542">
        <f>SUM(F19:F26)</f>
        <v>16252041</v>
      </c>
      <c r="G27" s="542">
        <f t="shared" ref="G27:H27" si="16">SUM(G19:G26)</f>
        <v>24054373</v>
      </c>
      <c r="H27" s="542">
        <f t="shared" si="16"/>
        <v>34418458</v>
      </c>
      <c r="I27" s="542">
        <v>31759465</v>
      </c>
      <c r="J27" s="542">
        <v>30732294</v>
      </c>
      <c r="K27" s="542">
        <v>22715329</v>
      </c>
      <c r="L27" s="542">
        <v>14000465</v>
      </c>
      <c r="M27" s="542">
        <v>8312398</v>
      </c>
      <c r="N27" s="542">
        <v>6514751</v>
      </c>
      <c r="O27" s="542">
        <v>5757349</v>
      </c>
      <c r="P27" s="542">
        <v>5525718</v>
      </c>
      <c r="Q27" s="542">
        <v>6773435</v>
      </c>
      <c r="R27" s="542">
        <v>10520430</v>
      </c>
      <c r="S27" s="542">
        <v>25535994</v>
      </c>
      <c r="T27" s="542"/>
      <c r="U27" s="542">
        <v>28660002</v>
      </c>
      <c r="V27" s="542">
        <f t="shared" ref="V27:AG27" si="17">SUM(V19:V26)</f>
        <v>29883272</v>
      </c>
      <c r="W27" s="542">
        <f t="shared" si="17"/>
        <v>21809394</v>
      </c>
      <c r="X27" s="542">
        <f t="shared" si="17"/>
        <v>17454090</v>
      </c>
      <c r="Y27" s="542">
        <f t="shared" si="17"/>
        <v>14032685</v>
      </c>
      <c r="Z27" s="542">
        <f t="shared" si="17"/>
        <v>7651890</v>
      </c>
      <c r="AA27" s="542">
        <f t="shared" si="17"/>
        <v>5795038</v>
      </c>
      <c r="AB27" s="542">
        <f t="shared" si="17"/>
        <v>5628267</v>
      </c>
      <c r="AC27" s="542">
        <f t="shared" si="17"/>
        <v>5459507</v>
      </c>
      <c r="AD27" s="542">
        <f t="shared" si="17"/>
        <v>7409442</v>
      </c>
      <c r="AE27" s="542">
        <f t="shared" si="17"/>
        <v>10024910</v>
      </c>
      <c r="AF27" s="542">
        <f t="shared" si="17"/>
        <v>24440099</v>
      </c>
      <c r="AG27" s="542">
        <f t="shared" si="17"/>
        <v>0</v>
      </c>
      <c r="AY27" s="482">
        <f>AY26-AZ26</f>
        <v>-381.40999999998894</v>
      </c>
    </row>
    <row r="28" spans="1:52" ht="16" thickTop="1">
      <c r="A28" s="483"/>
      <c r="B28" s="481" t="s">
        <v>269</v>
      </c>
      <c r="C28" s="491">
        <f>SUM(V28:AG28)</f>
        <v>69146756</v>
      </c>
      <c r="D28" s="491">
        <f t="shared" si="14"/>
        <v>201084465</v>
      </c>
      <c r="E28" s="491">
        <v>6409834</v>
      </c>
      <c r="F28" s="491">
        <v>16252041</v>
      </c>
      <c r="G28" s="491">
        <v>24054373</v>
      </c>
      <c r="H28" s="491">
        <v>34418458</v>
      </c>
      <c r="I28" s="491">
        <v>31759465</v>
      </c>
      <c r="J28" s="491">
        <v>30732294</v>
      </c>
      <c r="K28" s="491">
        <v>22715329</v>
      </c>
      <c r="L28" s="491">
        <v>14000465</v>
      </c>
      <c r="M28" s="491">
        <v>8312398</v>
      </c>
      <c r="N28" s="491">
        <v>6514751</v>
      </c>
      <c r="O28" s="491">
        <v>5757349</v>
      </c>
      <c r="P28" s="491">
        <v>5525718</v>
      </c>
      <c r="Q28" s="491">
        <v>6773435</v>
      </c>
      <c r="R28" s="491">
        <v>10520430</v>
      </c>
      <c r="S28" s="491">
        <v>25535994</v>
      </c>
      <c r="T28" s="491"/>
      <c r="U28" s="491">
        <v>28660002</v>
      </c>
      <c r="V28" s="491">
        <v>29883272</v>
      </c>
      <c r="W28" s="491">
        <v>21809394</v>
      </c>
      <c r="X28" s="491">
        <v>17454090</v>
      </c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</row>
    <row r="29" spans="1:52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</row>
    <row r="30" spans="1:52">
      <c r="A30" s="484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/>
      <c r="U30" s="484">
        <v>201412</v>
      </c>
      <c r="V30" s="484">
        <v>201501</v>
      </c>
      <c r="W30" s="484">
        <f t="shared" ref="W30:AE30" si="18">V30+1</f>
        <v>201502</v>
      </c>
      <c r="X30" s="484">
        <f t="shared" si="18"/>
        <v>201503</v>
      </c>
      <c r="Y30" s="484">
        <f t="shared" si="18"/>
        <v>201504</v>
      </c>
      <c r="Z30" s="484">
        <f t="shared" si="18"/>
        <v>201505</v>
      </c>
      <c r="AA30" s="484">
        <f t="shared" si="18"/>
        <v>201506</v>
      </c>
      <c r="AB30" s="484">
        <f t="shared" si="18"/>
        <v>201507</v>
      </c>
      <c r="AC30" s="484">
        <f t="shared" si="18"/>
        <v>201508</v>
      </c>
      <c r="AD30" s="484">
        <f t="shared" si="18"/>
        <v>201509</v>
      </c>
      <c r="AE30" s="484">
        <f t="shared" si="18"/>
        <v>201510</v>
      </c>
      <c r="AF30" s="484">
        <f>AE30+1</f>
        <v>201511</v>
      </c>
      <c r="AG30" s="484">
        <f t="shared" ref="AG30" si="19">AF30+1</f>
        <v>201512</v>
      </c>
    </row>
    <row r="31" spans="1:52">
      <c r="A31" s="483"/>
      <c r="B31" s="481" t="s">
        <v>37</v>
      </c>
      <c r="E31" s="492">
        <v>3.3950000000000001E-2</v>
      </c>
      <c r="F31" s="492">
        <v>3.3950000000000001E-2</v>
      </c>
      <c r="G31" s="496" t="s">
        <v>270</v>
      </c>
      <c r="H31" s="496" t="s">
        <v>270</v>
      </c>
      <c r="I31" s="492">
        <v>-2.9299999999999999E-3</v>
      </c>
      <c r="J31" s="492">
        <v>-2.9299999999999999E-3</v>
      </c>
      <c r="K31" s="492">
        <v>-2.9299999999999999E-3</v>
      </c>
      <c r="L31" s="492">
        <v>-2.9299999999999999E-3</v>
      </c>
      <c r="M31" s="492">
        <v>-2.9299999999999999E-3</v>
      </c>
      <c r="N31" s="492">
        <v>-2.9299999999999999E-3</v>
      </c>
      <c r="O31" s="492">
        <v>-2.9299999999999999E-3</v>
      </c>
      <c r="P31" s="492">
        <v>-2.9299999999999999E-3</v>
      </c>
      <c r="Q31" s="492">
        <v>-2.9299999999999999E-3</v>
      </c>
      <c r="R31" s="492">
        <v>-2.9299999999999999E-3</v>
      </c>
      <c r="S31" s="496" t="s">
        <v>270</v>
      </c>
      <c r="T31" s="496"/>
      <c r="U31" s="496" t="s">
        <v>270</v>
      </c>
      <c r="V31" s="492">
        <v>1.436E-2</v>
      </c>
      <c r="W31" s="492">
        <v>1.436E-2</v>
      </c>
      <c r="X31" s="492">
        <v>1.436E-2</v>
      </c>
      <c r="Y31" s="492">
        <v>1.436E-2</v>
      </c>
      <c r="Z31" s="492">
        <v>1.436E-2</v>
      </c>
      <c r="AA31" s="492">
        <v>1.436E-2</v>
      </c>
      <c r="AB31" s="492">
        <v>1.436E-2</v>
      </c>
      <c r="AC31" s="492">
        <v>1.436E-2</v>
      </c>
      <c r="AD31" s="492">
        <v>1.436E-2</v>
      </c>
      <c r="AE31" s="492">
        <v>1.436E-2</v>
      </c>
      <c r="AF31" s="496" t="s">
        <v>270</v>
      </c>
      <c r="AG31" s="496" t="s">
        <v>270</v>
      </c>
    </row>
    <row r="32" spans="1:52">
      <c r="A32" s="483"/>
      <c r="B32" s="481" t="s">
        <v>38</v>
      </c>
      <c r="E32" s="492">
        <v>3.0599999999999999E-2</v>
      </c>
      <c r="F32" s="492">
        <v>3.0599999999999999E-2</v>
      </c>
      <c r="G32" s="496" t="s">
        <v>270</v>
      </c>
      <c r="H32" s="496" t="s">
        <v>270</v>
      </c>
      <c r="I32" s="492">
        <v>-5.5599999999999998E-3</v>
      </c>
      <c r="J32" s="492">
        <v>-5.5599999999999998E-3</v>
      </c>
      <c r="K32" s="492">
        <v>-5.5599999999999998E-3</v>
      </c>
      <c r="L32" s="492">
        <v>-5.5599999999999998E-3</v>
      </c>
      <c r="M32" s="492">
        <v>-5.5599999999999998E-3</v>
      </c>
      <c r="N32" s="492">
        <v>-5.5599999999999998E-3</v>
      </c>
      <c r="O32" s="492">
        <v>-5.5599999999999998E-3</v>
      </c>
      <c r="P32" s="492">
        <v>-5.5599999999999998E-3</v>
      </c>
      <c r="Q32" s="492">
        <v>-5.5599999999999998E-3</v>
      </c>
      <c r="R32" s="492">
        <v>-5.5599999999999998E-3</v>
      </c>
      <c r="S32" s="496" t="s">
        <v>270</v>
      </c>
      <c r="T32" s="496"/>
      <c r="U32" s="496" t="s">
        <v>270</v>
      </c>
      <c r="V32" s="492">
        <v>8.0800000000000004E-3</v>
      </c>
      <c r="W32" s="492">
        <v>8.0800000000000004E-3</v>
      </c>
      <c r="X32" s="492">
        <v>8.0800000000000004E-3</v>
      </c>
      <c r="Y32" s="492">
        <v>8.0800000000000004E-3</v>
      </c>
      <c r="Z32" s="492">
        <v>8.0800000000000004E-3</v>
      </c>
      <c r="AA32" s="492">
        <v>8.0800000000000004E-3</v>
      </c>
      <c r="AB32" s="492">
        <v>8.0800000000000004E-3</v>
      </c>
      <c r="AC32" s="492">
        <v>8.0800000000000004E-3</v>
      </c>
      <c r="AD32" s="492">
        <v>8.0800000000000004E-3</v>
      </c>
      <c r="AE32" s="492">
        <v>8.0800000000000004E-3</v>
      </c>
      <c r="AF32" s="496" t="s">
        <v>270</v>
      </c>
      <c r="AG32" s="496" t="s">
        <v>270</v>
      </c>
    </row>
    <row r="33" spans="1:52" hidden="1">
      <c r="A33" s="483"/>
      <c r="B33" s="481" t="s">
        <v>39</v>
      </c>
      <c r="E33" s="492"/>
      <c r="F33" s="492"/>
      <c r="G33" s="496" t="s">
        <v>270</v>
      </c>
      <c r="H33" s="496" t="s">
        <v>270</v>
      </c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 t="s">
        <v>270</v>
      </c>
      <c r="T33" s="496"/>
      <c r="U33" s="496" t="s">
        <v>270</v>
      </c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6" t="s">
        <v>270</v>
      </c>
      <c r="AG33" s="496" t="s">
        <v>270</v>
      </c>
    </row>
    <row r="34" spans="1:52">
      <c r="A34" s="483"/>
      <c r="B34" s="481" t="s">
        <v>40</v>
      </c>
      <c r="E34" s="492">
        <v>2.998E-2</v>
      </c>
      <c r="F34" s="492">
        <v>2.998E-2</v>
      </c>
      <c r="G34" s="496" t="s">
        <v>270</v>
      </c>
      <c r="H34" s="496" t="s">
        <v>270</v>
      </c>
      <c r="I34" s="492">
        <v>-1.5820000000000001E-2</v>
      </c>
      <c r="J34" s="492">
        <v>-1.5820000000000001E-2</v>
      </c>
      <c r="K34" s="492">
        <v>-1.5820000000000001E-2</v>
      </c>
      <c r="L34" s="492">
        <v>-1.5820000000000001E-2</v>
      </c>
      <c r="M34" s="492">
        <v>-1.5820000000000001E-2</v>
      </c>
      <c r="N34" s="492">
        <v>-1.5820000000000001E-2</v>
      </c>
      <c r="O34" s="492">
        <v>-1.5820000000000001E-2</v>
      </c>
      <c r="P34" s="492">
        <v>-1.5820000000000001E-2</v>
      </c>
      <c r="Q34" s="492">
        <v>-1.5820000000000001E-2</v>
      </c>
      <c r="R34" s="492">
        <v>-1.5820000000000001E-2</v>
      </c>
      <c r="S34" s="496" t="s">
        <v>270</v>
      </c>
      <c r="T34" s="496"/>
      <c r="U34" s="496" t="s">
        <v>270</v>
      </c>
      <c r="V34" s="492">
        <v>-1.0359999999999999E-2</v>
      </c>
      <c r="W34" s="492">
        <v>-1.0359999999999999E-2</v>
      </c>
      <c r="X34" s="492">
        <v>-1.0359999999999999E-2</v>
      </c>
      <c r="Y34" s="492">
        <v>-1.0359999999999999E-2</v>
      </c>
      <c r="Z34" s="492">
        <v>-1.0359999999999999E-2</v>
      </c>
      <c r="AA34" s="492">
        <v>-1.0359999999999999E-2</v>
      </c>
      <c r="AB34" s="492">
        <v>-1.0359999999999999E-2</v>
      </c>
      <c r="AC34" s="492">
        <v>-1.0359999999999999E-2</v>
      </c>
      <c r="AD34" s="492">
        <v>-1.0359999999999999E-2</v>
      </c>
      <c r="AE34" s="492">
        <v>-1.0359999999999999E-2</v>
      </c>
      <c r="AF34" s="496" t="s">
        <v>270</v>
      </c>
      <c r="AG34" s="496" t="s">
        <v>270</v>
      </c>
    </row>
    <row r="35" spans="1:52" hidden="1">
      <c r="A35" s="483"/>
      <c r="B35" s="481" t="s">
        <v>41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/>
      <c r="U35" s="496" t="s">
        <v>270</v>
      </c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6" t="s">
        <v>270</v>
      </c>
      <c r="AG35" s="496" t="s">
        <v>270</v>
      </c>
    </row>
    <row r="36" spans="1:52" ht="16" thickBot="1">
      <c r="A36" s="483"/>
      <c r="B36" s="481" t="s">
        <v>42</v>
      </c>
      <c r="E36" s="492">
        <v>5.7389999999999997E-2</v>
      </c>
      <c r="F36" s="492">
        <v>5.7389999999999997E-2</v>
      </c>
      <c r="G36" s="496" t="s">
        <v>270</v>
      </c>
      <c r="H36" s="496" t="s">
        <v>270</v>
      </c>
      <c r="I36" s="492">
        <v>3.0499999999999999E-2</v>
      </c>
      <c r="J36" s="492">
        <v>3.0499999999999999E-2</v>
      </c>
      <c r="K36" s="492">
        <v>3.0499999999999999E-2</v>
      </c>
      <c r="L36" s="492">
        <v>3.0499999999999999E-2</v>
      </c>
      <c r="M36" s="492">
        <v>3.0499999999999999E-2</v>
      </c>
      <c r="N36" s="492">
        <v>3.0499999999999999E-2</v>
      </c>
      <c r="O36" s="492">
        <v>3.0499999999999999E-2</v>
      </c>
      <c r="P36" s="492">
        <v>3.0499999999999999E-2</v>
      </c>
      <c r="Q36" s="492">
        <v>3.0499999999999999E-2</v>
      </c>
      <c r="R36" s="492">
        <v>3.0499999999999999E-2</v>
      </c>
      <c r="S36" s="496" t="s">
        <v>270</v>
      </c>
      <c r="T36" s="496"/>
      <c r="U36" s="496" t="s">
        <v>270</v>
      </c>
      <c r="V36" s="492">
        <v>-2.3310000000000001E-2</v>
      </c>
      <c r="W36" s="492">
        <v>-2.3310000000000001E-2</v>
      </c>
      <c r="X36" s="492">
        <v>-2.3310000000000001E-2</v>
      </c>
      <c r="Y36" s="492">
        <v>-2.3310000000000001E-2</v>
      </c>
      <c r="Z36" s="492">
        <v>-2.3310000000000001E-2</v>
      </c>
      <c r="AA36" s="492">
        <v>-2.3310000000000001E-2</v>
      </c>
      <c r="AB36" s="492">
        <v>-2.3310000000000001E-2</v>
      </c>
      <c r="AC36" s="492">
        <v>-2.3310000000000001E-2</v>
      </c>
      <c r="AD36" s="492">
        <v>-2.3310000000000001E-2</v>
      </c>
      <c r="AE36" s="492">
        <v>-2.3310000000000001E-2</v>
      </c>
      <c r="AF36" s="496" t="s">
        <v>270</v>
      </c>
      <c r="AG36" s="496" t="s">
        <v>270</v>
      </c>
    </row>
    <row r="37" spans="1:52" ht="16" hidden="1" thickBot="1">
      <c r="A37" s="483"/>
      <c r="B37" s="481" t="s">
        <v>43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/>
      <c r="U37" s="496" t="s">
        <v>270</v>
      </c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6" t="s">
        <v>270</v>
      </c>
      <c r="AG37" s="496" t="s">
        <v>270</v>
      </c>
      <c r="AI37" s="483"/>
      <c r="AJ37" s="484"/>
      <c r="AK37" s="483"/>
      <c r="AL37" s="483"/>
      <c r="AM37" s="483"/>
      <c r="AN37" s="483"/>
    </row>
    <row r="38" spans="1:52" ht="16" thickBot="1">
      <c r="A38" s="483"/>
      <c r="B38" s="481" t="s">
        <v>74</v>
      </c>
      <c r="E38" s="492">
        <v>0</v>
      </c>
      <c r="F38" s="492">
        <v>0</v>
      </c>
      <c r="G38" s="496" t="s">
        <v>270</v>
      </c>
      <c r="H38" s="496" t="s">
        <v>270</v>
      </c>
      <c r="I38" s="492">
        <v>0</v>
      </c>
      <c r="J38" s="492">
        <v>0</v>
      </c>
      <c r="K38" s="492">
        <v>0</v>
      </c>
      <c r="L38" s="492">
        <v>0</v>
      </c>
      <c r="M38" s="492">
        <v>0</v>
      </c>
      <c r="N38" s="492">
        <v>0</v>
      </c>
      <c r="O38" s="492">
        <v>0</v>
      </c>
      <c r="P38" s="492">
        <v>0</v>
      </c>
      <c r="Q38" s="492">
        <v>0</v>
      </c>
      <c r="R38" s="492">
        <v>0</v>
      </c>
      <c r="S38" s="496" t="s">
        <v>270</v>
      </c>
      <c r="T38" s="496"/>
      <c r="U38" s="496" t="s">
        <v>270</v>
      </c>
      <c r="V38" s="492">
        <v>0</v>
      </c>
      <c r="W38" s="492">
        <v>0</v>
      </c>
      <c r="X38" s="492">
        <v>0</v>
      </c>
      <c r="Y38" s="492">
        <v>0</v>
      </c>
      <c r="Z38" s="492">
        <v>0</v>
      </c>
      <c r="AA38" s="492">
        <v>0</v>
      </c>
      <c r="AB38" s="492">
        <v>0</v>
      </c>
      <c r="AC38" s="492">
        <v>0</v>
      </c>
      <c r="AD38" s="492">
        <v>0</v>
      </c>
      <c r="AE38" s="492">
        <v>0</v>
      </c>
      <c r="AF38" s="496" t="s">
        <v>270</v>
      </c>
      <c r="AG38" s="496" t="s">
        <v>270</v>
      </c>
      <c r="AI38" s="513" t="str">
        <f>AI4</f>
        <v>201504 Correcting Entry</v>
      </c>
      <c r="AJ38" s="526"/>
      <c r="AK38" s="514"/>
      <c r="AL38" s="514"/>
      <c r="AM38" s="514"/>
      <c r="AN38" s="515"/>
    </row>
    <row r="39" spans="1:52">
      <c r="A39" s="483" t="s">
        <v>293</v>
      </c>
      <c r="E39" s="492"/>
      <c r="F39" s="492"/>
      <c r="G39" s="496"/>
      <c r="H39" s="496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I39" s="497" t="s">
        <v>298</v>
      </c>
      <c r="AJ39" s="527">
        <v>419600</v>
      </c>
      <c r="AK39" s="498" t="s">
        <v>288</v>
      </c>
      <c r="AL39" s="498" t="s">
        <v>289</v>
      </c>
      <c r="AM39" s="519">
        <v>0</v>
      </c>
      <c r="AN39" s="520">
        <f>IF(SUMIF(E40:AG40,AI38,E44:AG44)&gt;0,SUMIF(E40:AG40,AI38,E44:AG44),0)</f>
        <v>0</v>
      </c>
    </row>
    <row r="40" spans="1:52" s="483" customFormat="1">
      <c r="A40" s="484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/>
      <c r="U40" s="484">
        <v>201412</v>
      </c>
      <c r="V40" s="484">
        <v>201501</v>
      </c>
      <c r="W40" s="484">
        <f t="shared" ref="W40:AE40" si="20">V40+1</f>
        <v>201502</v>
      </c>
      <c r="X40" s="484">
        <f t="shared" si="20"/>
        <v>201503</v>
      </c>
      <c r="Y40" s="484">
        <f t="shared" si="20"/>
        <v>201504</v>
      </c>
      <c r="Z40" s="484">
        <f t="shared" si="20"/>
        <v>201505</v>
      </c>
      <c r="AA40" s="484">
        <f t="shared" si="20"/>
        <v>201506</v>
      </c>
      <c r="AB40" s="484">
        <f t="shared" si="20"/>
        <v>201507</v>
      </c>
      <c r="AC40" s="484">
        <f t="shared" si="20"/>
        <v>201508</v>
      </c>
      <c r="AD40" s="484">
        <f t="shared" si="20"/>
        <v>201509</v>
      </c>
      <c r="AE40" s="484">
        <f t="shared" si="20"/>
        <v>201510</v>
      </c>
      <c r="AF40" s="484">
        <f>AE40+1</f>
        <v>201511</v>
      </c>
      <c r="AG40" s="484">
        <f t="shared" ref="AG40" si="21">AF40+1</f>
        <v>201512</v>
      </c>
      <c r="AI40" s="499" t="s">
        <v>299</v>
      </c>
      <c r="AJ40" s="528">
        <v>431600</v>
      </c>
      <c r="AK40" s="358" t="s">
        <v>288</v>
      </c>
      <c r="AL40" s="358" t="s">
        <v>289</v>
      </c>
      <c r="AM40" s="381">
        <f>IF(SUMIF(E40:AG40,AI38,E44:AG44)&lt;0,-SUMIF(E40:AG40,AI38,E44:AG44),0)</f>
        <v>0</v>
      </c>
      <c r="AN40" s="500">
        <v>0</v>
      </c>
      <c r="AR40" s="482"/>
      <c r="AS40" s="482"/>
      <c r="AT40" s="482"/>
      <c r="AU40" s="482"/>
      <c r="AV40" s="482"/>
      <c r="AW40" s="482"/>
      <c r="AX40" s="482"/>
      <c r="AY40" s="482"/>
      <c r="AZ40" s="482"/>
    </row>
    <row r="41" spans="1:52" s="483" customFormat="1">
      <c r="B41" s="485" t="s">
        <v>257</v>
      </c>
      <c r="C41" s="482"/>
      <c r="E41" s="488">
        <v>3.2500000000000001E-2</v>
      </c>
      <c r="F41" s="488">
        <v>3.2500000000000001E-2</v>
      </c>
      <c r="G41" s="488">
        <v>3.2500000000000001E-2</v>
      </c>
      <c r="H41" s="488">
        <v>3.2500000000000001E-2</v>
      </c>
      <c r="I41" s="488">
        <v>3.2500000000000001E-2</v>
      </c>
      <c r="J41" s="488">
        <v>3.2500000000000001E-2</v>
      </c>
      <c r="K41" s="488">
        <v>3.2500000000000001E-2</v>
      </c>
      <c r="L41" s="488">
        <v>3.2500000000000001E-2</v>
      </c>
      <c r="M41" s="488">
        <v>3.2500000000000001E-2</v>
      </c>
      <c r="N41" s="488">
        <v>3.2500000000000001E-2</v>
      </c>
      <c r="O41" s="488">
        <v>3.2500000000000001E-2</v>
      </c>
      <c r="P41" s="488">
        <v>3.2500000000000001E-2</v>
      </c>
      <c r="Q41" s="488">
        <v>3.2500000000000001E-2</v>
      </c>
      <c r="R41" s="488">
        <v>3.2500000000000001E-2</v>
      </c>
      <c r="S41" s="488">
        <v>3.2500000000000001E-2</v>
      </c>
      <c r="T41" s="488"/>
      <c r="U41" s="488">
        <v>3.2500000000000001E-2</v>
      </c>
      <c r="V41" s="488">
        <v>3.2500000000000001E-2</v>
      </c>
      <c r="W41" s="488">
        <v>3.2500000000000001E-2</v>
      </c>
      <c r="X41" s="488">
        <v>3.2500000000000001E-2</v>
      </c>
      <c r="Y41" s="488">
        <v>3.2500000000000001E-2</v>
      </c>
      <c r="Z41" s="488">
        <v>3.2500000000000001E-2</v>
      </c>
      <c r="AA41" s="488">
        <v>3.2500000000000001E-2</v>
      </c>
      <c r="AB41" s="488">
        <v>3.2500000000000001E-2</v>
      </c>
      <c r="AC41" s="488">
        <v>3.2500000000000001E-2</v>
      </c>
      <c r="AD41" s="488">
        <v>3.2500000000000001E-2</v>
      </c>
      <c r="AE41" s="488">
        <v>3.2500000000000001E-2</v>
      </c>
      <c r="AF41" s="488">
        <v>3.2500000000000001E-2</v>
      </c>
      <c r="AG41" s="488">
        <v>3.2500000000000001E-2</v>
      </c>
      <c r="AI41" s="499" t="s">
        <v>300</v>
      </c>
      <c r="AJ41" s="528">
        <v>191000</v>
      </c>
      <c r="AK41" s="358" t="s">
        <v>288</v>
      </c>
      <c r="AL41" s="358" t="s">
        <v>289</v>
      </c>
      <c r="AM41" s="381">
        <f>IF((SUMIF(E40:AG40,AI38,E43:AG43)+SUMIF(E40:AG40,AI38,E44:AG44))&gt;0,(SUMIF(E40:AG40,AI38,E43:AG43)+SUMIF(E40:AG40,AI38,E44:AG44)),0)</f>
        <v>0</v>
      </c>
      <c r="AN41" s="500">
        <f>IF((SUMIF(E40:AG40,AI38,E43:AG43)+SUMIF(E40:AG40,AI38,E44:AG44))&lt;0,-(SUMIF(E40:AG40,AI38,E43:AG43)+SUMIF(E40:AG40,AI38,E44:AG44)),0)</f>
        <v>0</v>
      </c>
      <c r="AR41" s="482"/>
      <c r="AS41" s="482"/>
      <c r="AT41" s="482"/>
      <c r="AU41" s="482"/>
      <c r="AV41" s="482"/>
      <c r="AW41" s="482"/>
      <c r="AX41" s="482"/>
      <c r="AY41" s="482"/>
      <c r="AZ41" s="482"/>
    </row>
    <row r="42" spans="1:52">
      <c r="A42" s="493"/>
      <c r="B42" s="481" t="s">
        <v>253</v>
      </c>
      <c r="E42" s="482">
        <v>-194854.27149590768</v>
      </c>
      <c r="F42" s="482">
        <f>E47</f>
        <v>-46035.360287444513</v>
      </c>
      <c r="G42" s="482">
        <f>F47</f>
        <v>404885.58467682183</v>
      </c>
      <c r="H42" s="482">
        <f>G47</f>
        <v>1486369.5928734979</v>
      </c>
      <c r="I42" s="482">
        <v>1388326.8065187801</v>
      </c>
      <c r="J42" s="482">
        <v>1256080.2312424269</v>
      </c>
      <c r="K42" s="482">
        <v>1153258.7731084346</v>
      </c>
      <c r="L42" s="482">
        <v>1078717.1045833002</v>
      </c>
      <c r="M42" s="482">
        <v>1033496.2426010612</v>
      </c>
      <c r="N42" s="482">
        <v>1007906.7387058339</v>
      </c>
      <c r="O42" s="482">
        <v>987738.42680743511</v>
      </c>
      <c r="P42" s="482">
        <v>972066.68936231779</v>
      </c>
      <c r="Q42" s="482">
        <v>955827.4742971377</v>
      </c>
      <c r="R42" s="482">
        <v>935484.97275235492</v>
      </c>
      <c r="S42" s="482">
        <v>900376.74388303224</v>
      </c>
      <c r="U42" s="482">
        <v>-1984640.7833043733</v>
      </c>
      <c r="V42" s="482">
        <f>U47</f>
        <v>-1530288.7769039478</v>
      </c>
      <c r="W42" s="482">
        <f>V47</f>
        <v>-1203520.6941716045</v>
      </c>
      <c r="X42" s="482">
        <f t="shared" ref="X42:AE42" si="22">W47</f>
        <v>-978605.01769356499</v>
      </c>
      <c r="Y42" s="482">
        <f t="shared" si="22"/>
        <v>-801445.32791263924</v>
      </c>
      <c r="Z42" s="482">
        <f t="shared" si="22"/>
        <v>-669275.24177190254</v>
      </c>
      <c r="AA42" s="482">
        <f t="shared" si="22"/>
        <v>-610882.24266902648</v>
      </c>
      <c r="AB42" s="482">
        <f t="shared" si="22"/>
        <v>-574943.04011245095</v>
      </c>
      <c r="AC42" s="482">
        <f t="shared" si="22"/>
        <v>-537511.27700320142</v>
      </c>
      <c r="AD42" s="482">
        <f t="shared" si="22"/>
        <v>-503286.03358886426</v>
      </c>
      <c r="AE42" s="482">
        <f t="shared" si="22"/>
        <v>-446057.56644618412</v>
      </c>
      <c r="AF42" s="482">
        <f>AE47</f>
        <v>-360324.16779451753</v>
      </c>
      <c r="AG42" s="482">
        <f t="shared" ref="AG42" si="23">AF47</f>
        <v>-361300.04574896104</v>
      </c>
      <c r="AI42" s="499" t="s">
        <v>301</v>
      </c>
      <c r="AJ42" s="528">
        <v>805110</v>
      </c>
      <c r="AK42" s="358" t="s">
        <v>288</v>
      </c>
      <c r="AL42" s="358" t="s">
        <v>289</v>
      </c>
      <c r="AM42" s="381">
        <f>IF((SUMIF(E40:AG40,AI38,E43:AG43))&lt;0,-(SUMIF(E40:AG40,AI38,E43:AG43)),0)</f>
        <v>0</v>
      </c>
      <c r="AN42" s="500">
        <f>IF((SUMIF(E40:AG40,AI38,E43:AG43))&gt;0,(SUMIF(E40:AG40,AI38,E43:AG43)),0)+0.01</f>
        <v>0.01</v>
      </c>
    </row>
    <row r="43" spans="1:52">
      <c r="B43" s="481" t="s">
        <v>23</v>
      </c>
      <c r="C43" s="482">
        <f>SUM(V43:AG43)</f>
        <v>1189629.81828</v>
      </c>
      <c r="D43" s="494">
        <f>SUM(G43:R43)</f>
        <v>-672918.74727999989</v>
      </c>
      <c r="E43" s="482">
        <f>SUMPRODUCT(E19:E26,E31:E38)</f>
        <v>149144.67478</v>
      </c>
      <c r="F43" s="482">
        <f>SUMPRODUCT(F19:F26,F31:F38)</f>
        <v>450435.65911000001</v>
      </c>
      <c r="G43" s="482">
        <v>-82277.84</v>
      </c>
      <c r="H43" s="482">
        <v>-101930.34</v>
      </c>
      <c r="I43" s="482">
        <v>-108116.73896</v>
      </c>
      <c r="J43" s="482">
        <v>-106079.69250999999</v>
      </c>
      <c r="K43" s="482">
        <v>-77560.048470000009</v>
      </c>
      <c r="L43" s="482">
        <v>-48077.28282</v>
      </c>
      <c r="M43" s="482">
        <v>-28350.165369999999</v>
      </c>
      <c r="N43" s="482">
        <v>-22867.09346</v>
      </c>
      <c r="O43" s="482">
        <v>-18322.051239999997</v>
      </c>
      <c r="P43" s="482">
        <v>-18846.37455</v>
      </c>
      <c r="Q43" s="482">
        <v>-22900.190279999999</v>
      </c>
      <c r="R43" s="482">
        <v>-37590.929620000003</v>
      </c>
      <c r="S43" s="557">
        <v>257672.26615000004</v>
      </c>
      <c r="T43" s="557"/>
      <c r="U43" s="557">
        <v>312766.45</v>
      </c>
      <c r="V43" s="482">
        <f>SUMPRODUCT(V19:V26,V31:V38)</f>
        <v>330465.11</v>
      </c>
      <c r="W43" s="482">
        <f>SUMPRODUCT(W19:W26,W31:W38)</f>
        <v>227866.64228000003</v>
      </c>
      <c r="X43" s="482">
        <f t="shared" ref="X43:Y43" si="24">SUMPRODUCT(X19:X26,X31:X38)</f>
        <v>179566.91484000001</v>
      </c>
      <c r="Y43" s="482">
        <f t="shared" si="24"/>
        <v>134158.99359999999</v>
      </c>
      <c r="Z43" s="482">
        <f>SUMPRODUCT(Z19:Z26,Z31:Z38)</f>
        <v>60124.201359999999</v>
      </c>
      <c r="AA43" s="482">
        <f t="shared" ref="AA43:AE43" si="25">SUMPRODUCT(AA19:AA26,AA31:AA38)</f>
        <v>37542.836040000002</v>
      </c>
      <c r="AB43" s="482">
        <f t="shared" si="25"/>
        <v>38936.174440000003</v>
      </c>
      <c r="AC43" s="482">
        <f t="shared" si="25"/>
        <v>35632.750439999996</v>
      </c>
      <c r="AD43" s="482">
        <f t="shared" si="25"/>
        <v>58512.29808</v>
      </c>
      <c r="AE43" s="482">
        <f t="shared" si="25"/>
        <v>86823.897200000007</v>
      </c>
      <c r="AF43" s="563"/>
      <c r="AG43" s="563"/>
      <c r="AI43" s="153" t="s">
        <v>156</v>
      </c>
      <c r="AJ43" s="209">
        <f>AJ41</f>
        <v>191000</v>
      </c>
      <c r="AK43" s="209" t="str">
        <f t="shared" ref="AK43:AL44" si="26">AK41</f>
        <v>GD</v>
      </c>
      <c r="AL43" s="209" t="str">
        <f t="shared" si="26"/>
        <v>WA</v>
      </c>
      <c r="AM43" s="472">
        <v>0</v>
      </c>
      <c r="AN43" s="462">
        <v>0</v>
      </c>
    </row>
    <row r="44" spans="1:52" ht="16" thickBot="1">
      <c r="B44" s="481" t="s">
        <v>4</v>
      </c>
      <c r="C44" s="482">
        <f t="shared" ref="C44:C46" si="27">SUM(V44:AG44)</f>
        <v>-21619.608082249844</v>
      </c>
      <c r="D44" s="494">
        <f>SUM(G44:R44)</f>
        <v>36498.65781942301</v>
      </c>
      <c r="E44" s="482">
        <f>(E42*(E41/12))+((E43/2)*(E41/12))</f>
        <v>-325.7635715368333</v>
      </c>
      <c r="F44" s="482">
        <f>(F42*(F41/12))+((F43/2)*(F41/12))</f>
        <v>485.28585426629616</v>
      </c>
      <c r="G44" s="482">
        <f>((G42+G45)*(G41/12))+(((G43+G46)/2)*(G41/12))</f>
        <v>4107.1195298889406</v>
      </c>
      <c r="H44" s="489">
        <f>(H42*(H41/12))+((H43/2)*(H41/12))</f>
        <v>3887.5536452823899</v>
      </c>
      <c r="I44" s="489">
        <v>3613.643683646696</v>
      </c>
      <c r="J44" s="489">
        <v>3258.2343760076146</v>
      </c>
      <c r="K44" s="489">
        <v>3018.3799448655523</v>
      </c>
      <c r="L44" s="489">
        <v>2856.4208377610212</v>
      </c>
      <c r="M44" s="489">
        <v>2760.6614747726658</v>
      </c>
      <c r="N44" s="489">
        <v>2698.7815616012172</v>
      </c>
      <c r="O44" s="489">
        <v>2650.3137948826366</v>
      </c>
      <c r="P44" s="489">
        <v>2607.1594848198192</v>
      </c>
      <c r="Q44" s="489">
        <v>2557.688735217248</v>
      </c>
      <c r="R44" s="489">
        <v>2482.7007506772115</v>
      </c>
      <c r="S44" s="559">
        <v>-5609.7233374053303</v>
      </c>
      <c r="T44" s="559"/>
      <c r="U44" s="560">
        <v>-4753.3635995743443</v>
      </c>
      <c r="V44" s="489">
        <f>((V42*(V41/12))+((V43/2)*(V41/12)))</f>
        <v>-3697.0272676565255</v>
      </c>
      <c r="W44" s="489">
        <f t="shared" ref="W44:AE44" si="28">((W42*(W41/12))+((W43/2)*(W41/12)))</f>
        <v>-2950.9658019605959</v>
      </c>
      <c r="X44" s="489">
        <f>((X42*(X41/12))+((X43/2)*(X41/12)))</f>
        <v>-2407.2250590742387</v>
      </c>
      <c r="Y44" s="489">
        <f t="shared" si="28"/>
        <v>-1988.9074592633983</v>
      </c>
      <c r="Z44" s="489">
        <f t="shared" si="28"/>
        <v>-1731.2022571239027</v>
      </c>
      <c r="AA44" s="489">
        <f t="shared" si="28"/>
        <v>-1603.6334834244467</v>
      </c>
      <c r="AB44" s="489">
        <f t="shared" si="28"/>
        <v>-1504.4113307503878</v>
      </c>
      <c r="AC44" s="489">
        <f t="shared" si="28"/>
        <v>-1407.5070256628373</v>
      </c>
      <c r="AD44" s="489">
        <f t="shared" si="28"/>
        <v>-1283.8309373198406</v>
      </c>
      <c r="AE44" s="489">
        <f t="shared" si="28"/>
        <v>-1090.4985483334153</v>
      </c>
      <c r="AF44" s="560">
        <f>((AF42+AF45)*(AF41/12))+(((AF43+AF46)/2)*(AF41/12))</f>
        <v>-975.87795444348501</v>
      </c>
      <c r="AG44" s="560">
        <f>((AG42+AG45)*(AG41/12))+(((AG43+AG46)/2)*(AG41/12))</f>
        <v>-978.5209572367695</v>
      </c>
      <c r="AI44" s="154" t="str">
        <f>AI43</f>
        <v>Large Customer Refund</v>
      </c>
      <c r="AJ44" s="561">
        <f>AJ42</f>
        <v>805110</v>
      </c>
      <c r="AK44" s="561" t="str">
        <f t="shared" si="26"/>
        <v>GD</v>
      </c>
      <c r="AL44" s="561" t="str">
        <f t="shared" si="26"/>
        <v>WA</v>
      </c>
      <c r="AM44" s="464">
        <f>AN43</f>
        <v>0</v>
      </c>
      <c r="AN44" s="473">
        <f>AM43</f>
        <v>0</v>
      </c>
    </row>
    <row r="45" spans="1:52" ht="16" thickBot="1">
      <c r="B45" s="481" t="s">
        <v>259</v>
      </c>
      <c r="C45" s="482">
        <f t="shared" si="27"/>
        <v>0</v>
      </c>
      <c r="E45" s="482">
        <v>0</v>
      </c>
      <c r="F45" s="482">
        <v>0</v>
      </c>
      <c r="G45" s="482">
        <v>1145801.7486667871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-3063910.6100000003</v>
      </c>
      <c r="T45" s="557"/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482">
        <v>0</v>
      </c>
      <c r="AF45" s="563">
        <f>-AF11-AF10-AF9</f>
        <v>0</v>
      </c>
      <c r="AG45" s="563">
        <v>0</v>
      </c>
      <c r="AI45" s="516"/>
      <c r="AJ45" s="530"/>
      <c r="AK45" s="517"/>
      <c r="AL45" s="517"/>
      <c r="AM45" s="517" t="s">
        <v>159</v>
      </c>
      <c r="AN45" s="518">
        <f>SUM(AM39:AM44)-SUM(AN39:AN44)</f>
        <v>-0.01</v>
      </c>
    </row>
    <row r="46" spans="1:52">
      <c r="B46" s="481" t="s">
        <v>148</v>
      </c>
      <c r="C46" s="482">
        <f t="shared" si="27"/>
        <v>0</v>
      </c>
      <c r="E46" s="482">
        <v>0</v>
      </c>
      <c r="F46" s="482">
        <v>0</v>
      </c>
      <c r="G46" s="482">
        <v>13852.98</v>
      </c>
      <c r="H46" s="482">
        <v>0</v>
      </c>
      <c r="I46" s="538">
        <v>-27743.479999999981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-73169.460000000006</v>
      </c>
      <c r="T46" s="557"/>
      <c r="U46" s="557">
        <v>146338.92000000001</v>
      </c>
      <c r="V46" s="563">
        <v>0</v>
      </c>
      <c r="W46" s="482">
        <v>0</v>
      </c>
      <c r="X46" s="482">
        <v>0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482">
        <v>0</v>
      </c>
      <c r="AF46" s="563"/>
      <c r="AG46" s="563">
        <f>-AF46*2</f>
        <v>0</v>
      </c>
    </row>
    <row r="47" spans="1:52" ht="16" thickBot="1">
      <c r="B47" s="481" t="s">
        <v>56</v>
      </c>
      <c r="C47" s="541">
        <f>SUM(C43:C46)</f>
        <v>1168010.2101977502</v>
      </c>
      <c r="D47" s="541"/>
      <c r="E47" s="541">
        <f>SUM(E42:E46)</f>
        <v>-46035.360287444513</v>
      </c>
      <c r="F47" s="541">
        <f t="shared" ref="F47:H47" si="29">SUM(F42:F46)</f>
        <v>404885.58467682183</v>
      </c>
      <c r="G47" s="541">
        <f t="shared" si="29"/>
        <v>1486369.5928734979</v>
      </c>
      <c r="H47" s="541">
        <f t="shared" si="29"/>
        <v>1388326.8065187801</v>
      </c>
      <c r="I47" s="541">
        <v>1256080.2312424269</v>
      </c>
      <c r="J47" s="541">
        <v>1153258.7731084346</v>
      </c>
      <c r="K47" s="541">
        <v>1078717.1045833002</v>
      </c>
      <c r="L47" s="541">
        <v>1033496.2426010612</v>
      </c>
      <c r="M47" s="541">
        <v>1007906.7387058339</v>
      </c>
      <c r="N47" s="541">
        <v>987738.42680743511</v>
      </c>
      <c r="O47" s="541">
        <v>972066.68936231779</v>
      </c>
      <c r="P47" s="541">
        <v>955827.4742971377</v>
      </c>
      <c r="Q47" s="541">
        <v>935484.97275235492</v>
      </c>
      <c r="R47" s="541">
        <v>900376.74388303224</v>
      </c>
      <c r="S47" s="541">
        <v>-1984640.7833043733</v>
      </c>
      <c r="T47" s="541"/>
      <c r="U47" s="541">
        <v>-1530288.7769039478</v>
      </c>
      <c r="V47" s="541">
        <f t="shared" ref="V47:AG47" si="30">SUM(V42:V46)</f>
        <v>-1203520.6941716045</v>
      </c>
      <c r="W47" s="541">
        <f t="shared" si="30"/>
        <v>-978605.01769356499</v>
      </c>
      <c r="X47" s="541">
        <f t="shared" si="30"/>
        <v>-801445.32791263924</v>
      </c>
      <c r="Y47" s="541">
        <f t="shared" si="30"/>
        <v>-669275.24177190254</v>
      </c>
      <c r="Z47" s="541">
        <f t="shared" si="30"/>
        <v>-610882.24266902648</v>
      </c>
      <c r="AA47" s="541">
        <f t="shared" si="30"/>
        <v>-574943.04011245095</v>
      </c>
      <c r="AB47" s="541">
        <f t="shared" si="30"/>
        <v>-537511.27700320142</v>
      </c>
      <c r="AC47" s="541">
        <f t="shared" si="30"/>
        <v>-503286.03358886426</v>
      </c>
      <c r="AD47" s="541">
        <f t="shared" si="30"/>
        <v>-446057.56644618412</v>
      </c>
      <c r="AE47" s="541">
        <f t="shared" si="30"/>
        <v>-360324.16779451753</v>
      </c>
      <c r="AF47" s="541">
        <f t="shared" si="30"/>
        <v>-361300.04574896104</v>
      </c>
      <c r="AG47" s="541">
        <f t="shared" si="30"/>
        <v>-362278.5667061978</v>
      </c>
    </row>
    <row r="48" spans="1:52" ht="16" thickTop="1">
      <c r="B48" s="481" t="s">
        <v>260</v>
      </c>
      <c r="E48" s="482" t="e">
        <f ca="1">_xll.Get_Balance(E40,"YTD","USD","Total","A","","001",$A$40,"GD","WA","DL")</f>
        <v>#NAME?</v>
      </c>
      <c r="F48" s="482" t="e">
        <f ca="1">_xll.Get_Balance(F40,"YTD","USD","Total","A","","001",$A$40,"GD","WA","DL")</f>
        <v>#NAME?</v>
      </c>
      <c r="G48" s="482" t="e">
        <f ca="1">_xll.Get_Balance(G40,"YTD","USD","Total","A","","001",$A$40,"GD","WA","DL")</f>
        <v>#NAME?</v>
      </c>
      <c r="H48" s="482" t="e">
        <f ca="1">_xll.Get_Balance(H40,"YTD","USD","Total","A","","001",$A$40,"GD","WA","DL")</f>
        <v>#NAME?</v>
      </c>
      <c r="I48" s="482">
        <v>1256080.45</v>
      </c>
      <c r="J48" s="482">
        <v>1153258.99</v>
      </c>
      <c r="K48" s="482">
        <v>1078717.32</v>
      </c>
      <c r="L48" s="482">
        <v>1033496.46</v>
      </c>
      <c r="M48" s="482">
        <v>1007906.96</v>
      </c>
      <c r="N48" s="482">
        <v>987738.65</v>
      </c>
      <c r="O48" s="482">
        <v>972066.91</v>
      </c>
      <c r="P48" s="482">
        <v>955827.69</v>
      </c>
      <c r="Q48" s="482">
        <v>935485.19</v>
      </c>
      <c r="R48" s="482">
        <v>900376.96</v>
      </c>
      <c r="S48" s="482">
        <v>-1984640.57</v>
      </c>
      <c r="U48" s="482">
        <v>-1530288.56</v>
      </c>
      <c r="V48" s="482" t="e">
        <f ca="1">_xll.Get_Balance(V40,"YTD","USD","Total","A","","001",$A$40,"GD","WA","DL")</f>
        <v>#NAME?</v>
      </c>
      <c r="W48" s="482" t="e">
        <f ca="1">_xll.Get_Balance(W40,"YTD","USD","Total","A","","001",$A$40,"GD","WA","DL")</f>
        <v>#NAME?</v>
      </c>
      <c r="X48" s="482" t="e">
        <f ca="1">_xll.Get_Balance(X40,"YTD","USD","Total","A","","001",$A$40,"GD","WA","DL")</f>
        <v>#NAME?</v>
      </c>
      <c r="Y48" s="482" t="e">
        <f ca="1">_xll.Get_Balance(Y40,"YTD","USD","Total","A","","001",$A$40,"GD","WA","DL")</f>
        <v>#NAME?</v>
      </c>
      <c r="Z48" s="482" t="e">
        <f ca="1">_xll.Get_Balance(Z40,"YTD","USD","Total","A","","001",$A$40,"GD","WA","DL")</f>
        <v>#NAME?</v>
      </c>
      <c r="AA48" s="482" t="e">
        <f ca="1">_xll.Get_Balance(AA40,"YTD","USD","Total","A","","001",$A$40,"GD","WA","DL")</f>
        <v>#NAME?</v>
      </c>
      <c r="AB48" s="482" t="e">
        <f ca="1">_xll.Get_Balance(AB40,"YTD","USD","Total","A","","001",$A$40,"GD","WA","DL")</f>
        <v>#NAME?</v>
      </c>
      <c r="AC48" s="482" t="e">
        <f ca="1">_xll.Get_Balance(AC40,"YTD","USD","Total","A","","001",$A$40,"GD","WA","DL")</f>
        <v>#NAME?</v>
      </c>
      <c r="AD48" s="482" t="e">
        <f ca="1">_xll.Get_Balance(AD40,"YTD","USD","Total","A","","001",$A$40,"GD","WA","DL")</f>
        <v>#NAME?</v>
      </c>
      <c r="AE48" s="482" t="e">
        <f ca="1">_xll.Get_Balance(AE40,"YTD","USD","Total","A","","001",$A$40,"GD","WA","DL")</f>
        <v>#NAME?</v>
      </c>
      <c r="AF48" s="482" t="e">
        <f ca="1">_xll.Get_Balance(AF40,"YTD","USD","Total","A","","001",$A$40,"GD","WA","DL")</f>
        <v>#NAME?</v>
      </c>
      <c r="AG48" s="482" t="e">
        <f ca="1">_xll.Get_Balance(AG40,"YTD","USD","Total","A","","001",$A$40,"GD","WA","DL")</f>
        <v>#NAME?</v>
      </c>
      <c r="AM48" s="563"/>
    </row>
    <row r="49" spans="1:52">
      <c r="B49" s="481" t="s">
        <v>245</v>
      </c>
      <c r="E49" s="482" t="e">
        <f t="shared" ref="E49:H49" ca="1" si="31">E47-E48</f>
        <v>#NAME?</v>
      </c>
      <c r="F49" s="482" t="e">
        <f t="shared" ca="1" si="31"/>
        <v>#NAME?</v>
      </c>
      <c r="G49" s="482" t="e">
        <f t="shared" ca="1" si="31"/>
        <v>#NAME?</v>
      </c>
      <c r="H49" s="482" t="e">
        <f t="shared" ca="1" si="31"/>
        <v>#NAME?</v>
      </c>
      <c r="I49" s="482">
        <v>-0.21875757304951549</v>
      </c>
      <c r="J49" s="482">
        <v>-0.21689156536012888</v>
      </c>
      <c r="K49" s="482">
        <v>-0.21541669988073409</v>
      </c>
      <c r="L49" s="482">
        <v>-0.2173989387229085</v>
      </c>
      <c r="M49" s="482">
        <v>-0.22129416605457664</v>
      </c>
      <c r="N49" s="482">
        <v>-0.22319256491027772</v>
      </c>
      <c r="O49" s="482">
        <v>-0.22063768224325031</v>
      </c>
      <c r="P49" s="482">
        <v>-0.21570286224596202</v>
      </c>
      <c r="Q49" s="482">
        <v>-0.21724764502141625</v>
      </c>
      <c r="R49" s="482">
        <v>-0.21611696772743016</v>
      </c>
      <c r="S49" s="482">
        <v>-0.21330437320284545</v>
      </c>
      <c r="U49" s="482">
        <v>-0.21690394775941968</v>
      </c>
      <c r="V49" s="482" t="e">
        <f t="shared" ref="V49:AG49" ca="1" si="32">V47-V48</f>
        <v>#NAME?</v>
      </c>
      <c r="W49" s="482" t="e">
        <f t="shared" ca="1" si="32"/>
        <v>#NAME?</v>
      </c>
      <c r="X49" s="482" t="e">
        <f t="shared" ca="1" si="32"/>
        <v>#NAME?</v>
      </c>
      <c r="Y49" s="482" t="e">
        <f t="shared" ca="1" si="32"/>
        <v>#NAME?</v>
      </c>
      <c r="Z49" s="482" t="e">
        <f t="shared" ca="1" si="32"/>
        <v>#NAME?</v>
      </c>
      <c r="AA49" s="482" t="e">
        <f t="shared" ca="1" si="32"/>
        <v>#NAME?</v>
      </c>
      <c r="AB49" s="482" t="e">
        <f t="shared" ca="1" si="32"/>
        <v>#NAME?</v>
      </c>
      <c r="AC49" s="482" t="e">
        <f t="shared" ca="1" si="32"/>
        <v>#NAME?</v>
      </c>
      <c r="AD49" s="482" t="e">
        <f t="shared" ca="1" si="32"/>
        <v>#NAME?</v>
      </c>
      <c r="AE49" s="482" t="e">
        <f t="shared" ca="1" si="32"/>
        <v>#NAME?</v>
      </c>
      <c r="AF49" s="482" t="e">
        <f t="shared" ca="1" si="32"/>
        <v>#NAME?</v>
      </c>
      <c r="AG49" s="482" t="e">
        <f t="shared" ca="1" si="32"/>
        <v>#NAME?</v>
      </c>
    </row>
    <row r="51" spans="1:52">
      <c r="A51" s="483" t="s">
        <v>292</v>
      </c>
      <c r="E51" s="535"/>
      <c r="F51" s="535"/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5"/>
      <c r="S51" s="535"/>
      <c r="T51" s="535"/>
      <c r="U51" s="535"/>
      <c r="V51" s="535"/>
      <c r="W51" s="535"/>
      <c r="X51" s="535"/>
      <c r="Y51" s="535"/>
      <c r="Z51" s="535"/>
      <c r="AA51" s="535"/>
      <c r="AB51" s="535"/>
      <c r="AC51" s="535"/>
      <c r="AD51" s="535"/>
      <c r="AE51" s="535"/>
      <c r="AF51" s="535"/>
      <c r="AG51" s="535"/>
    </row>
    <row r="52" spans="1:52">
      <c r="A52" s="484">
        <v>191025</v>
      </c>
      <c r="B52" s="485" t="s">
        <v>256</v>
      </c>
      <c r="C52" s="486" t="s">
        <v>251</v>
      </c>
      <c r="D52" s="486" t="s">
        <v>252</v>
      </c>
      <c r="E52" s="484">
        <v>201309</v>
      </c>
      <c r="F52" s="484">
        <f>E52+1</f>
        <v>201310</v>
      </c>
      <c r="G52" s="484">
        <f>F52+1</f>
        <v>201311</v>
      </c>
      <c r="H52" s="484">
        <f>G52+1</f>
        <v>201312</v>
      </c>
      <c r="I52" s="484">
        <v>201401</v>
      </c>
      <c r="J52" s="484">
        <v>201402</v>
      </c>
      <c r="K52" s="484">
        <v>201403</v>
      </c>
      <c r="L52" s="484">
        <v>201404</v>
      </c>
      <c r="M52" s="484">
        <v>201405</v>
      </c>
      <c r="N52" s="484">
        <v>201406</v>
      </c>
      <c r="O52" s="484">
        <v>201407</v>
      </c>
      <c r="P52" s="484">
        <v>201408</v>
      </c>
      <c r="Q52" s="484">
        <v>201409</v>
      </c>
      <c r="R52" s="484">
        <v>201410</v>
      </c>
      <c r="S52" s="484">
        <v>201411</v>
      </c>
      <c r="T52" s="484"/>
      <c r="U52" s="484">
        <v>201412</v>
      </c>
      <c r="V52" s="484">
        <v>201501</v>
      </c>
      <c r="W52" s="484">
        <f t="shared" ref="W52:AE52" si="33">V52+1</f>
        <v>201502</v>
      </c>
      <c r="X52" s="484">
        <f t="shared" si="33"/>
        <v>201503</v>
      </c>
      <c r="Y52" s="484">
        <f t="shared" si="33"/>
        <v>201504</v>
      </c>
      <c r="Z52" s="484">
        <f t="shared" si="33"/>
        <v>201505</v>
      </c>
      <c r="AA52" s="484">
        <f t="shared" si="33"/>
        <v>201506</v>
      </c>
      <c r="AB52" s="484">
        <f t="shared" si="33"/>
        <v>201507</v>
      </c>
      <c r="AC52" s="484">
        <f t="shared" si="33"/>
        <v>201508</v>
      </c>
      <c r="AD52" s="484">
        <f t="shared" si="33"/>
        <v>201509</v>
      </c>
      <c r="AE52" s="484">
        <f t="shared" si="33"/>
        <v>201510</v>
      </c>
      <c r="AF52" s="484">
        <f>AE52+1</f>
        <v>201511</v>
      </c>
      <c r="AG52" s="484">
        <f t="shared" ref="AG52" si="34">AF52+1</f>
        <v>201512</v>
      </c>
      <c r="AM52" s="563"/>
    </row>
    <row r="53" spans="1:52">
      <c r="A53" s="483"/>
      <c r="B53" s="481" t="s">
        <v>37</v>
      </c>
      <c r="C53" s="491">
        <f>SUM(V53:AG53)</f>
        <v>83964548</v>
      </c>
      <c r="D53" s="491">
        <f t="shared" ref="D53:D62" si="35">SUM(G53:R53)</f>
        <v>118507804</v>
      </c>
      <c r="E53" s="491">
        <v>2647538</v>
      </c>
      <c r="F53" s="491">
        <v>9244353</v>
      </c>
      <c r="G53" s="491">
        <v>15070678</v>
      </c>
      <c r="H53" s="491">
        <v>22636008</v>
      </c>
      <c r="I53" s="543">
        <v>20682450</v>
      </c>
      <c r="J53" s="543">
        <v>20184373</v>
      </c>
      <c r="K53" s="543">
        <v>14096743</v>
      </c>
      <c r="L53" s="543">
        <v>7776328</v>
      </c>
      <c r="M53" s="543">
        <v>3691303</v>
      </c>
      <c r="N53" s="543">
        <v>2545780</v>
      </c>
      <c r="O53" s="543">
        <v>2095088</v>
      </c>
      <c r="P53" s="543">
        <v>2047777</v>
      </c>
      <c r="Q53" s="543">
        <v>2727612</v>
      </c>
      <c r="R53" s="543">
        <v>4953664</v>
      </c>
      <c r="S53" s="543">
        <v>15823016</v>
      </c>
      <c r="T53" s="543"/>
      <c r="U53" s="543">
        <v>19056609</v>
      </c>
      <c r="V53" s="543">
        <f>Jan!$G23</f>
        <v>19909674</v>
      </c>
      <c r="W53" s="543">
        <f>Feb!$G23</f>
        <v>13011547</v>
      </c>
      <c r="X53" s="543">
        <f>Mar!$G23</f>
        <v>10479005</v>
      </c>
      <c r="Y53" s="543">
        <f>Apr!$G23</f>
        <v>7714478</v>
      </c>
      <c r="Z53" s="543">
        <f>May!$G23</f>
        <v>3297360</v>
      </c>
      <c r="AA53" s="543">
        <f>Jun!$G23</f>
        <v>1968489</v>
      </c>
      <c r="AB53" s="543">
        <f>Jul!$G23</f>
        <v>2145139</v>
      </c>
      <c r="AC53" s="543">
        <f>Aug!$G23</f>
        <v>1956853</v>
      </c>
      <c r="AD53" s="543">
        <f>Sep!$G23</f>
        <v>3273457</v>
      </c>
      <c r="AE53" s="543">
        <f>Oct!$G23</f>
        <v>4833518</v>
      </c>
      <c r="AF53" s="543">
        <f>Nov!$G23</f>
        <v>15375028</v>
      </c>
      <c r="AG53" s="543">
        <f>Dec!$G23</f>
        <v>0</v>
      </c>
    </row>
    <row r="54" spans="1:52">
      <c r="A54" s="483"/>
      <c r="B54" s="481" t="s">
        <v>38</v>
      </c>
      <c r="C54" s="491">
        <f t="shared" ref="C54:C61" si="36">SUM(V54:AG54)</f>
        <v>35336899</v>
      </c>
      <c r="D54" s="491">
        <f t="shared" si="35"/>
        <v>47081391</v>
      </c>
      <c r="E54" s="491">
        <v>1599551</v>
      </c>
      <c r="F54" s="491">
        <v>3880001</v>
      </c>
      <c r="G54" s="491">
        <v>5651303</v>
      </c>
      <c r="H54" s="491">
        <v>7518125</v>
      </c>
      <c r="I54" s="543">
        <v>7025543</v>
      </c>
      <c r="J54" s="543">
        <v>6903553</v>
      </c>
      <c r="K54" s="543">
        <v>5310734</v>
      </c>
      <c r="L54" s="543">
        <v>3390429</v>
      </c>
      <c r="M54" s="543">
        <v>2183609</v>
      </c>
      <c r="N54" s="543">
        <v>1741655</v>
      </c>
      <c r="O54" s="543">
        <v>1476567</v>
      </c>
      <c r="P54" s="543">
        <v>1364087</v>
      </c>
      <c r="Q54" s="543">
        <v>1739755</v>
      </c>
      <c r="R54" s="543">
        <v>2776031</v>
      </c>
      <c r="S54" s="543">
        <v>6141604</v>
      </c>
      <c r="T54" s="543"/>
      <c r="U54" s="543">
        <v>6045485</v>
      </c>
      <c r="V54" s="543">
        <f>Jan!$G24</f>
        <v>6173752</v>
      </c>
      <c r="W54" s="543">
        <f>Feb!$G24</f>
        <v>5630395</v>
      </c>
      <c r="X54" s="543">
        <f>Mar!$G24</f>
        <v>4030672</v>
      </c>
      <c r="Y54" s="543">
        <f>Apr!$G24</f>
        <v>3448422</v>
      </c>
      <c r="Z54" s="543">
        <f>May!$G24</f>
        <v>1901440</v>
      </c>
      <c r="AA54" s="543">
        <f>Jun!$G24</f>
        <v>1561904</v>
      </c>
      <c r="AB54" s="543">
        <f>Jul!$G24</f>
        <v>1323231</v>
      </c>
      <c r="AC54" s="543">
        <f>Aug!$G24</f>
        <v>1284422</v>
      </c>
      <c r="AD54" s="543">
        <f>Sep!$G24</f>
        <v>1854848</v>
      </c>
      <c r="AE54" s="543">
        <f>Oct!$G25</f>
        <v>2624293</v>
      </c>
      <c r="AF54" s="543">
        <f>Nov!$G25</f>
        <v>5503520</v>
      </c>
      <c r="AG54" s="543">
        <f>Dec!$G24</f>
        <v>0</v>
      </c>
    </row>
    <row r="55" spans="1:52">
      <c r="A55" s="483"/>
      <c r="B55" s="481" t="s">
        <v>39</v>
      </c>
      <c r="C55" s="491">
        <f t="shared" si="36"/>
        <v>0</v>
      </c>
      <c r="D55" s="491">
        <f t="shared" si="35"/>
        <v>0</v>
      </c>
      <c r="E55" s="491">
        <v>0</v>
      </c>
      <c r="F55" s="491">
        <v>0</v>
      </c>
      <c r="G55" s="491">
        <v>0</v>
      </c>
      <c r="H55" s="491">
        <v>0</v>
      </c>
      <c r="I55" s="543">
        <v>0</v>
      </c>
      <c r="J55" s="543">
        <v>0</v>
      </c>
      <c r="K55" s="543">
        <v>0</v>
      </c>
      <c r="L55" s="543">
        <v>0</v>
      </c>
      <c r="M55" s="543">
        <v>0</v>
      </c>
      <c r="N55" s="543">
        <v>0</v>
      </c>
      <c r="O55" s="543">
        <v>0</v>
      </c>
      <c r="P55" s="543">
        <v>0</v>
      </c>
      <c r="Q55" s="543">
        <v>0</v>
      </c>
      <c r="R55" s="543">
        <v>0</v>
      </c>
      <c r="S55" s="543">
        <v>0</v>
      </c>
      <c r="T55" s="543"/>
      <c r="U55" s="543">
        <v>0</v>
      </c>
      <c r="V55" s="543">
        <f>Jan!$G25</f>
        <v>0</v>
      </c>
      <c r="W55" s="543">
        <f>Feb!$G25</f>
        <v>0</v>
      </c>
      <c r="X55" s="543">
        <f>Mar!$G25</f>
        <v>0</v>
      </c>
      <c r="Y55" s="543">
        <f>Apr!$G25</f>
        <v>0</v>
      </c>
      <c r="Z55" s="543">
        <f>May!$G25</f>
        <v>0</v>
      </c>
      <c r="AA55" s="543">
        <f>Jun!$G25</f>
        <v>0</v>
      </c>
      <c r="AB55" s="543">
        <f>Jul!$G25</f>
        <v>0</v>
      </c>
      <c r="AC55" s="543">
        <f>Aug!$G25</f>
        <v>0</v>
      </c>
      <c r="AD55" s="543">
        <f>Sep!$G25</f>
        <v>0</v>
      </c>
      <c r="AE55" s="543">
        <f>Oct!$G26</f>
        <v>0</v>
      </c>
      <c r="AF55" s="543">
        <f>Nov!$G26</f>
        <v>0</v>
      </c>
      <c r="AG55" s="543">
        <f>Dec!$G25</f>
        <v>0</v>
      </c>
    </row>
    <row r="56" spans="1:52">
      <c r="A56" s="483"/>
      <c r="B56" s="481" t="s">
        <v>40</v>
      </c>
      <c r="C56" s="491">
        <f t="shared" si="36"/>
        <v>4051936</v>
      </c>
      <c r="D56" s="491">
        <f t="shared" si="35"/>
        <v>4993299</v>
      </c>
      <c r="E56" s="491">
        <v>344046</v>
      </c>
      <c r="F56" s="491">
        <v>595792</v>
      </c>
      <c r="G56" s="491">
        <v>396185</v>
      </c>
      <c r="H56" s="491">
        <v>588721</v>
      </c>
      <c r="I56" s="543">
        <v>534459</v>
      </c>
      <c r="J56" s="543">
        <v>540817</v>
      </c>
      <c r="K56" s="543">
        <v>425342</v>
      </c>
      <c r="L56" s="543">
        <v>407197</v>
      </c>
      <c r="M56" s="543">
        <v>340947</v>
      </c>
      <c r="N56" s="543">
        <v>361843</v>
      </c>
      <c r="O56" s="543">
        <v>251184</v>
      </c>
      <c r="P56" s="543">
        <v>332621</v>
      </c>
      <c r="Q56" s="543">
        <v>330926</v>
      </c>
      <c r="R56" s="543">
        <v>483057</v>
      </c>
      <c r="S56" s="543">
        <v>518418</v>
      </c>
      <c r="T56" s="543"/>
      <c r="U56" s="543">
        <v>377457</v>
      </c>
      <c r="V56" s="543">
        <f>Jan!$G26</f>
        <v>513680</v>
      </c>
      <c r="W56" s="543">
        <f>Feb!$G26</f>
        <v>431734</v>
      </c>
      <c r="X56" s="543">
        <f>Mar!$G26</f>
        <v>335852</v>
      </c>
      <c r="Y56" s="543">
        <f>Apr!$G26</f>
        <v>432834</v>
      </c>
      <c r="Z56" s="543">
        <f>May!$G26</f>
        <v>249954</v>
      </c>
      <c r="AA56" s="543">
        <f>Jun!$G26</f>
        <v>322862</v>
      </c>
      <c r="AB56" s="543">
        <f>Jul!$G26</f>
        <v>247078</v>
      </c>
      <c r="AC56" s="543">
        <f>Aug!$G26</f>
        <v>274690</v>
      </c>
      <c r="AD56" s="543">
        <f>Sep!$G26</f>
        <v>336073</v>
      </c>
      <c r="AE56" s="543">
        <f>Oct!$G27</f>
        <v>365802</v>
      </c>
      <c r="AF56" s="543">
        <f>Nov!$G27</f>
        <v>541377</v>
      </c>
      <c r="AG56" s="543">
        <f>Dec!$G26</f>
        <v>0</v>
      </c>
    </row>
    <row r="57" spans="1:52">
      <c r="A57" s="483"/>
      <c r="B57" s="481" t="s">
        <v>41</v>
      </c>
      <c r="C57" s="491">
        <f t="shared" si="36"/>
        <v>504443</v>
      </c>
      <c r="D57" s="491">
        <f t="shared" si="35"/>
        <v>658607</v>
      </c>
      <c r="E57" s="491">
        <v>31388</v>
      </c>
      <c r="F57" s="491">
        <v>40500</v>
      </c>
      <c r="G57" s="491">
        <v>51667</v>
      </c>
      <c r="H57" s="491">
        <v>84319</v>
      </c>
      <c r="I57" s="543">
        <v>95515</v>
      </c>
      <c r="J57" s="543">
        <v>89875</v>
      </c>
      <c r="K57" s="543">
        <v>79687</v>
      </c>
      <c r="L57" s="543">
        <v>48237</v>
      </c>
      <c r="M57" s="543">
        <v>57496</v>
      </c>
      <c r="N57" s="543">
        <v>29984</v>
      </c>
      <c r="O57" s="543">
        <v>36453</v>
      </c>
      <c r="P57" s="543">
        <v>23994</v>
      </c>
      <c r="Q57" s="543">
        <v>27780</v>
      </c>
      <c r="R57" s="543">
        <v>33600</v>
      </c>
      <c r="S57" s="543">
        <v>46503</v>
      </c>
      <c r="T57" s="543"/>
      <c r="U57" s="543">
        <v>74423</v>
      </c>
      <c r="V57" s="543">
        <f>Jan!$G27</f>
        <v>81674</v>
      </c>
      <c r="W57" s="543">
        <f>Feb!$G27</f>
        <v>68846</v>
      </c>
      <c r="X57" s="543">
        <f>Mar!$G27</f>
        <v>57610</v>
      </c>
      <c r="Y57" s="543">
        <f>Apr!$G27</f>
        <v>49631</v>
      </c>
      <c r="Z57" s="543">
        <f>May!$G27</f>
        <v>46984</v>
      </c>
      <c r="AA57" s="543">
        <f>Jun!$G27</f>
        <v>30135</v>
      </c>
      <c r="AB57" s="543">
        <f>Jul!$G27</f>
        <v>28317</v>
      </c>
      <c r="AC57" s="543">
        <f>Aug!$G27</f>
        <v>27313</v>
      </c>
      <c r="AD57" s="543">
        <f>Sep!$G27</f>
        <v>29790</v>
      </c>
      <c r="AE57" s="543">
        <f>Oct!$G28</f>
        <v>36487</v>
      </c>
      <c r="AF57" s="543">
        <f>Nov!$G28</f>
        <v>47656</v>
      </c>
      <c r="AG57" s="543">
        <f>Dec!$G27</f>
        <v>0</v>
      </c>
    </row>
    <row r="58" spans="1:52">
      <c r="A58" s="483"/>
      <c r="B58" s="481" t="s">
        <v>42</v>
      </c>
      <c r="C58" s="491">
        <f t="shared" si="36"/>
        <v>0</v>
      </c>
      <c r="D58" s="491">
        <f t="shared" si="35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/>
      <c r="U58" s="543">
        <v>0</v>
      </c>
      <c r="V58" s="543">
        <f>Jan!$G28</f>
        <v>0</v>
      </c>
      <c r="W58" s="543">
        <f>Feb!$G28</f>
        <v>0</v>
      </c>
      <c r="X58" s="543">
        <f>Mar!$G28</f>
        <v>0</v>
      </c>
      <c r="Y58" s="543">
        <f>Apr!$G28</f>
        <v>0</v>
      </c>
      <c r="Z58" s="543">
        <f>May!$G28</f>
        <v>0</v>
      </c>
      <c r="AA58" s="543">
        <f>Jun!$G28</f>
        <v>0</v>
      </c>
      <c r="AB58" s="543">
        <f>Jul!$G28</f>
        <v>0</v>
      </c>
      <c r="AC58" s="543">
        <f>Aug!$G28</f>
        <v>0</v>
      </c>
      <c r="AD58" s="543">
        <f>Sep!$G28</f>
        <v>0</v>
      </c>
      <c r="AE58" s="543">
        <f>Oct!$G29</f>
        <v>0</v>
      </c>
      <c r="AF58" s="543">
        <f>Nov!$G29</f>
        <v>0</v>
      </c>
      <c r="AG58" s="543">
        <f>Dec!$G28</f>
        <v>0</v>
      </c>
    </row>
    <row r="59" spans="1:52">
      <c r="A59" s="483"/>
      <c r="B59" s="481" t="s">
        <v>43</v>
      </c>
      <c r="C59" s="491">
        <f t="shared" si="36"/>
        <v>871865</v>
      </c>
      <c r="D59" s="491">
        <f t="shared" si="35"/>
        <v>1097701</v>
      </c>
      <c r="E59" s="491">
        <v>54453</v>
      </c>
      <c r="F59" s="491">
        <v>68629</v>
      </c>
      <c r="G59" s="491">
        <v>142001</v>
      </c>
      <c r="H59" s="491">
        <v>132732</v>
      </c>
      <c r="I59" s="543">
        <v>149468</v>
      </c>
      <c r="J59" s="543">
        <v>140495</v>
      </c>
      <c r="K59" s="543">
        <v>132979</v>
      </c>
      <c r="L59" s="543">
        <v>91026</v>
      </c>
      <c r="M59" s="543">
        <v>83802</v>
      </c>
      <c r="N59" s="543">
        <v>58384</v>
      </c>
      <c r="O59" s="543">
        <v>45870</v>
      </c>
      <c r="P59" s="543">
        <v>32437</v>
      </c>
      <c r="Q59" s="543">
        <v>37881</v>
      </c>
      <c r="R59" s="543">
        <v>50626</v>
      </c>
      <c r="S59" s="543">
        <v>67642</v>
      </c>
      <c r="T59" s="543"/>
      <c r="U59" s="543">
        <v>112489</v>
      </c>
      <c r="V59" s="543">
        <f>Jan!$G29</f>
        <v>129251</v>
      </c>
      <c r="W59" s="543">
        <f>Feb!$G29</f>
        <v>123377</v>
      </c>
      <c r="X59" s="543">
        <f>Mar!$G29</f>
        <v>100117</v>
      </c>
      <c r="Y59" s="543">
        <f>Apr!$G29</f>
        <v>81076</v>
      </c>
      <c r="Z59" s="543">
        <f>May!$G29</f>
        <v>83536</v>
      </c>
      <c r="AA59" s="543">
        <f>Jun!$G29</f>
        <v>56511</v>
      </c>
      <c r="AB59" s="543">
        <f>Jul!$G29</f>
        <v>13364</v>
      </c>
      <c r="AC59" s="543">
        <f>Aug!$G29</f>
        <v>68158</v>
      </c>
      <c r="AD59" s="543">
        <f>Sep!$G29</f>
        <v>45470</v>
      </c>
      <c r="AE59" s="543">
        <f>Oct!$G30</f>
        <v>96224</v>
      </c>
      <c r="AF59" s="543">
        <f>Nov!$G30</f>
        <v>74781</v>
      </c>
      <c r="AG59" s="543">
        <f>Dec!$G29</f>
        <v>0</v>
      </c>
      <c r="AR59" s="483"/>
      <c r="AS59" s="483"/>
      <c r="AT59" s="483"/>
      <c r="AU59" s="483"/>
      <c r="AV59" s="483"/>
      <c r="AW59" s="483"/>
      <c r="AX59" s="483"/>
      <c r="AY59" s="483"/>
      <c r="AZ59" s="483"/>
    </row>
    <row r="60" spans="1:52">
      <c r="A60" s="483"/>
      <c r="B60" s="481" t="s">
        <v>74</v>
      </c>
      <c r="C60" s="491">
        <f t="shared" si="36"/>
        <v>26235211</v>
      </c>
      <c r="D60" s="491">
        <f t="shared" si="35"/>
        <v>30501971</v>
      </c>
      <c r="E60" s="491">
        <v>1818699</v>
      </c>
      <c r="F60" s="491">
        <v>2531895</v>
      </c>
      <c r="G60" s="491">
        <v>2936207</v>
      </c>
      <c r="H60" s="491">
        <v>3675604</v>
      </c>
      <c r="I60" s="543">
        <v>3517013</v>
      </c>
      <c r="J60" s="543">
        <v>3103551</v>
      </c>
      <c r="K60" s="543">
        <v>2882510</v>
      </c>
      <c r="L60" s="543">
        <v>2426511</v>
      </c>
      <c r="M60" s="543">
        <v>2096539</v>
      </c>
      <c r="N60" s="543">
        <v>1865473</v>
      </c>
      <c r="O60" s="543">
        <v>1934510</v>
      </c>
      <c r="P60" s="543">
        <v>1781233</v>
      </c>
      <c r="Q60" s="543">
        <v>1975142</v>
      </c>
      <c r="R60" s="543">
        <v>2307678</v>
      </c>
      <c r="S60" s="543">
        <v>3052956</v>
      </c>
      <c r="T60" s="543"/>
      <c r="U60" s="543">
        <v>3180451</v>
      </c>
      <c r="V60" s="543">
        <f>Jan!$G30</f>
        <v>3286166</v>
      </c>
      <c r="W60" s="543">
        <f>Feb!$G30</f>
        <v>2735718</v>
      </c>
      <c r="X60" s="543">
        <f>Mar!$G30</f>
        <v>2608561</v>
      </c>
      <c r="Y60" s="543">
        <f>Apr!$G30</f>
        <v>2436951</v>
      </c>
      <c r="Z60" s="543">
        <f>May!$G30</f>
        <v>2203136</v>
      </c>
      <c r="AA60" s="543">
        <f>Jun!$G30</f>
        <v>1941783</v>
      </c>
      <c r="AB60" s="543">
        <f>Jul!$G30</f>
        <v>1912819</v>
      </c>
      <c r="AC60" s="543">
        <f>Aug!$G30</f>
        <v>1943542</v>
      </c>
      <c r="AD60" s="543">
        <f>Sep!$G30</f>
        <v>1945064</v>
      </c>
      <c r="AE60" s="543">
        <f>Oct!$G31</f>
        <v>2201297</v>
      </c>
      <c r="AF60" s="543">
        <f>Nov!$G31</f>
        <v>3020174</v>
      </c>
      <c r="AG60" s="543">
        <f>Dec!$G30</f>
        <v>0</v>
      </c>
    </row>
    <row r="61" spans="1:52" ht="16" thickBot="1">
      <c r="A61" s="483"/>
      <c r="B61" s="481" t="s">
        <v>21</v>
      </c>
      <c r="C61" s="542">
        <f t="shared" si="36"/>
        <v>150964902</v>
      </c>
      <c r="D61" s="542">
        <f t="shared" si="35"/>
        <v>202840773</v>
      </c>
      <c r="E61" s="542">
        <f>SUM(E53:E60)</f>
        <v>6495675</v>
      </c>
      <c r="F61" s="542">
        <f>SUM(F53:F60)</f>
        <v>16361170</v>
      </c>
      <c r="G61" s="542">
        <f t="shared" ref="G61:H61" si="37">SUM(G53:G60)</f>
        <v>24248041</v>
      </c>
      <c r="H61" s="542">
        <f t="shared" si="37"/>
        <v>34635509</v>
      </c>
      <c r="I61" s="542">
        <v>32004448</v>
      </c>
      <c r="J61" s="542">
        <v>30962664</v>
      </c>
      <c r="K61" s="542">
        <v>22927995</v>
      </c>
      <c r="L61" s="542">
        <v>14139728</v>
      </c>
      <c r="M61" s="542">
        <v>8453696</v>
      </c>
      <c r="N61" s="542">
        <v>6603119</v>
      </c>
      <c r="O61" s="542">
        <v>5839672</v>
      </c>
      <c r="P61" s="542">
        <v>5582149</v>
      </c>
      <c r="Q61" s="542">
        <v>6839096</v>
      </c>
      <c r="R61" s="542">
        <v>10604656</v>
      </c>
      <c r="S61" s="542">
        <v>25650139</v>
      </c>
      <c r="T61" s="542"/>
      <c r="U61" s="542">
        <v>28846914</v>
      </c>
      <c r="V61" s="542">
        <f t="shared" ref="V61:AG61" si="38">SUM(V53:V60)</f>
        <v>30094197</v>
      </c>
      <c r="W61" s="542">
        <f t="shared" si="38"/>
        <v>22001617</v>
      </c>
      <c r="X61" s="542">
        <f t="shared" si="38"/>
        <v>17611817</v>
      </c>
      <c r="Y61" s="542">
        <f t="shared" si="38"/>
        <v>14163392</v>
      </c>
      <c r="Z61" s="542">
        <f t="shared" si="38"/>
        <v>7782410</v>
      </c>
      <c r="AA61" s="542">
        <f t="shared" si="38"/>
        <v>5881684</v>
      </c>
      <c r="AB61" s="542">
        <f t="shared" si="38"/>
        <v>5669948</v>
      </c>
      <c r="AC61" s="542">
        <f t="shared" si="38"/>
        <v>5554978</v>
      </c>
      <c r="AD61" s="542">
        <f t="shared" si="38"/>
        <v>7484702</v>
      </c>
      <c r="AE61" s="542">
        <f t="shared" si="38"/>
        <v>10157621</v>
      </c>
      <c r="AF61" s="542">
        <f t="shared" si="38"/>
        <v>24562536</v>
      </c>
      <c r="AG61" s="542">
        <f t="shared" si="38"/>
        <v>0</v>
      </c>
    </row>
    <row r="62" spans="1:52" ht="16" thickTop="1">
      <c r="A62" s="483"/>
      <c r="B62" s="481" t="s">
        <v>269</v>
      </c>
      <c r="C62" s="491">
        <f>SUM(V62:AG62)</f>
        <v>69707631</v>
      </c>
      <c r="D62" s="491">
        <f t="shared" si="35"/>
        <v>202840773</v>
      </c>
      <c r="E62" s="491">
        <v>6495675</v>
      </c>
      <c r="F62" s="491">
        <v>16361170</v>
      </c>
      <c r="G62" s="491">
        <v>24248041</v>
      </c>
      <c r="H62" s="491">
        <v>34635509</v>
      </c>
      <c r="I62" s="491">
        <v>32004448</v>
      </c>
      <c r="J62" s="491">
        <v>30962664</v>
      </c>
      <c r="K62" s="491">
        <v>22927995</v>
      </c>
      <c r="L62" s="491">
        <v>14139728</v>
      </c>
      <c r="M62" s="491">
        <v>8453696</v>
      </c>
      <c r="N62" s="491">
        <v>6603119</v>
      </c>
      <c r="O62" s="491">
        <v>5839672</v>
      </c>
      <c r="P62" s="491">
        <v>5582149</v>
      </c>
      <c r="Q62" s="491">
        <v>6839096</v>
      </c>
      <c r="R62" s="491">
        <v>10604656</v>
      </c>
      <c r="S62" s="491">
        <v>25650139</v>
      </c>
      <c r="T62" s="491"/>
      <c r="U62" s="491">
        <v>28846914</v>
      </c>
      <c r="V62" s="491">
        <v>30094197</v>
      </c>
      <c r="W62" s="491">
        <v>22001617</v>
      </c>
      <c r="X62" s="491">
        <f>Mar!G32</f>
        <v>17611817</v>
      </c>
      <c r="Y62" s="491"/>
      <c r="Z62" s="491"/>
      <c r="AA62" s="491"/>
      <c r="AB62" s="491"/>
      <c r="AC62" s="491"/>
      <c r="AD62" s="491"/>
      <c r="AE62" s="491"/>
      <c r="AF62" s="491"/>
      <c r="AG62" s="491"/>
      <c r="AH62" s="491"/>
    </row>
    <row r="63" spans="1:52">
      <c r="A63" s="483" t="s">
        <v>22</v>
      </c>
      <c r="E63" s="535"/>
      <c r="F63" s="535"/>
      <c r="G63" s="535"/>
      <c r="H63" s="535"/>
      <c r="I63" s="535"/>
      <c r="J63" s="535"/>
      <c r="K63" s="535"/>
      <c r="L63" s="535"/>
      <c r="M63" s="535"/>
      <c r="N63" s="535"/>
      <c r="O63" s="535"/>
      <c r="P63" s="535"/>
      <c r="Q63" s="535"/>
      <c r="R63" s="535"/>
      <c r="S63" s="535"/>
      <c r="T63" s="535"/>
      <c r="U63" s="535"/>
      <c r="V63" s="535"/>
      <c r="W63" s="535"/>
      <c r="X63" s="535"/>
      <c r="Y63" s="535"/>
      <c r="Z63" s="535"/>
      <c r="AA63" s="535"/>
      <c r="AB63" s="535"/>
      <c r="AC63" s="535"/>
      <c r="AD63" s="535"/>
      <c r="AE63" s="535"/>
      <c r="AF63" s="535"/>
      <c r="AG63" s="535"/>
      <c r="AJ63" s="539"/>
    </row>
    <row r="64" spans="1:52">
      <c r="A64" s="484">
        <v>191025</v>
      </c>
      <c r="B64" s="485" t="s">
        <v>256</v>
      </c>
      <c r="E64" s="484">
        <v>201309</v>
      </c>
      <c r="F64" s="484">
        <f>E64+1</f>
        <v>201310</v>
      </c>
      <c r="G64" s="484">
        <f>F64+1</f>
        <v>201311</v>
      </c>
      <c r="H64" s="484">
        <f>G64+1</f>
        <v>201312</v>
      </c>
      <c r="I64" s="484">
        <v>201401</v>
      </c>
      <c r="J64" s="484">
        <v>201402</v>
      </c>
      <c r="K64" s="484">
        <v>201403</v>
      </c>
      <c r="L64" s="484">
        <v>201404</v>
      </c>
      <c r="M64" s="484">
        <v>201405</v>
      </c>
      <c r="N64" s="484">
        <v>201406</v>
      </c>
      <c r="O64" s="484">
        <v>201407</v>
      </c>
      <c r="P64" s="484">
        <v>201408</v>
      </c>
      <c r="Q64" s="484">
        <v>201409</v>
      </c>
      <c r="R64" s="484">
        <v>201410</v>
      </c>
      <c r="S64" s="484">
        <v>201411</v>
      </c>
      <c r="T64" s="484"/>
      <c r="U64" s="484">
        <v>201412</v>
      </c>
      <c r="V64" s="484">
        <v>201501</v>
      </c>
      <c r="W64" s="484">
        <f t="shared" ref="W64:AE64" si="39">V64+1</f>
        <v>201502</v>
      </c>
      <c r="X64" s="484">
        <f t="shared" si="39"/>
        <v>201503</v>
      </c>
      <c r="Y64" s="484">
        <f t="shared" si="39"/>
        <v>201504</v>
      </c>
      <c r="Z64" s="484">
        <f t="shared" si="39"/>
        <v>201505</v>
      </c>
      <c r="AA64" s="484">
        <f t="shared" si="39"/>
        <v>201506</v>
      </c>
      <c r="AB64" s="484">
        <f t="shared" si="39"/>
        <v>201507</v>
      </c>
      <c r="AC64" s="484">
        <f t="shared" si="39"/>
        <v>201508</v>
      </c>
      <c r="AD64" s="484">
        <f t="shared" si="39"/>
        <v>201509</v>
      </c>
      <c r="AE64" s="484">
        <f t="shared" si="39"/>
        <v>201510</v>
      </c>
      <c r="AF64" s="484">
        <f>AE64+1</f>
        <v>201511</v>
      </c>
      <c r="AG64" s="484">
        <f t="shared" ref="AG64" si="40">AF64+1</f>
        <v>201512</v>
      </c>
    </row>
    <row r="65" spans="1:52">
      <c r="A65" s="483"/>
      <c r="B65" s="481" t="s">
        <v>37</v>
      </c>
      <c r="E65" s="492">
        <v>-2.1900000000000001E-3</v>
      </c>
      <c r="F65" s="492">
        <v>-2.1900000000000001E-3</v>
      </c>
      <c r="G65" s="496" t="s">
        <v>270</v>
      </c>
      <c r="H65" s="496" t="s">
        <v>270</v>
      </c>
      <c r="I65" s="492">
        <v>-3.8999999999999999E-4</v>
      </c>
      <c r="J65" s="492">
        <v>-3.8999999999999999E-4</v>
      </c>
      <c r="K65" s="492">
        <v>-3.8999999999999999E-4</v>
      </c>
      <c r="L65" s="492">
        <v>-3.8999999999999999E-4</v>
      </c>
      <c r="M65" s="492">
        <v>-3.8999999999999999E-4</v>
      </c>
      <c r="N65" s="492">
        <v>-3.8999999999999999E-4</v>
      </c>
      <c r="O65" s="492">
        <v>-3.8999999999999999E-4</v>
      </c>
      <c r="P65" s="492">
        <v>-3.8999999999999999E-4</v>
      </c>
      <c r="Q65" s="492">
        <v>-3.8999999999999999E-4</v>
      </c>
      <c r="R65" s="492">
        <v>-3.8999999999999999E-4</v>
      </c>
      <c r="S65" s="496" t="s">
        <v>270</v>
      </c>
      <c r="T65" s="496"/>
      <c r="U65" s="496" t="s">
        <v>270</v>
      </c>
      <c r="V65" s="492">
        <v>2.5000000000000001E-4</v>
      </c>
      <c r="W65" s="492">
        <v>2.5000000000000001E-4</v>
      </c>
      <c r="X65" s="492">
        <v>2.5000000000000001E-4</v>
      </c>
      <c r="Y65" s="492">
        <v>2.5000000000000001E-4</v>
      </c>
      <c r="Z65" s="492">
        <v>2.5000000000000001E-4</v>
      </c>
      <c r="AA65" s="492">
        <v>2.5000000000000001E-4</v>
      </c>
      <c r="AB65" s="492">
        <v>2.5000000000000001E-4</v>
      </c>
      <c r="AC65" s="492">
        <v>2.5000000000000001E-4</v>
      </c>
      <c r="AD65" s="492">
        <v>2.5000000000000001E-4</v>
      </c>
      <c r="AE65" s="492">
        <v>2.5000000000000001E-4</v>
      </c>
      <c r="AF65" s="496" t="s">
        <v>270</v>
      </c>
      <c r="AG65" s="496" t="s">
        <v>270</v>
      </c>
    </row>
    <row r="66" spans="1:52">
      <c r="A66" s="483"/>
      <c r="B66" s="481" t="s">
        <v>38</v>
      </c>
      <c r="E66" s="492">
        <v>-2.1900000000000001E-3</v>
      </c>
      <c r="F66" s="492">
        <v>-2.1900000000000001E-3</v>
      </c>
      <c r="G66" s="496" t="s">
        <v>270</v>
      </c>
      <c r="H66" s="496" t="s">
        <v>270</v>
      </c>
      <c r="I66" s="492">
        <v>-3.8999999999999999E-4</v>
      </c>
      <c r="J66" s="492">
        <v>-3.8999999999999999E-4</v>
      </c>
      <c r="K66" s="492">
        <v>-3.8999999999999999E-4</v>
      </c>
      <c r="L66" s="492">
        <v>-3.8999999999999999E-4</v>
      </c>
      <c r="M66" s="492">
        <v>-3.8999999999999999E-4</v>
      </c>
      <c r="N66" s="492">
        <v>-3.8999999999999999E-4</v>
      </c>
      <c r="O66" s="492">
        <v>-3.8999999999999999E-4</v>
      </c>
      <c r="P66" s="492">
        <v>-3.8999999999999999E-4</v>
      </c>
      <c r="Q66" s="492">
        <v>-3.8999999999999999E-4</v>
      </c>
      <c r="R66" s="492">
        <v>-3.8999999999999999E-4</v>
      </c>
      <c r="S66" s="496" t="s">
        <v>270</v>
      </c>
      <c r="T66" s="496"/>
      <c r="U66" s="496" t="s">
        <v>270</v>
      </c>
      <c r="V66" s="492">
        <v>2.5000000000000001E-4</v>
      </c>
      <c r="W66" s="492">
        <v>2.5000000000000001E-4</v>
      </c>
      <c r="X66" s="492">
        <v>2.5000000000000001E-4</v>
      </c>
      <c r="Y66" s="492">
        <v>2.5000000000000001E-4</v>
      </c>
      <c r="Z66" s="492">
        <v>2.5000000000000001E-4</v>
      </c>
      <c r="AA66" s="492">
        <v>2.5000000000000001E-4</v>
      </c>
      <c r="AB66" s="492">
        <v>2.5000000000000001E-4</v>
      </c>
      <c r="AC66" s="492">
        <v>2.5000000000000001E-4</v>
      </c>
      <c r="AD66" s="492">
        <v>2.5000000000000001E-4</v>
      </c>
      <c r="AE66" s="492">
        <v>2.5000000000000001E-4</v>
      </c>
      <c r="AF66" s="496" t="s">
        <v>270</v>
      </c>
      <c r="AG66" s="496" t="s">
        <v>270</v>
      </c>
    </row>
    <row r="67" spans="1:52">
      <c r="A67" s="483"/>
      <c r="B67" s="481" t="s">
        <v>39</v>
      </c>
      <c r="E67" s="492">
        <v>-2.1900000000000001E-3</v>
      </c>
      <c r="F67" s="492">
        <v>-2.1900000000000001E-3</v>
      </c>
      <c r="G67" s="496" t="s">
        <v>270</v>
      </c>
      <c r="H67" s="496" t="s">
        <v>270</v>
      </c>
      <c r="I67" s="492">
        <v>-3.8999999999999999E-4</v>
      </c>
      <c r="J67" s="492">
        <v>-3.8999999999999999E-4</v>
      </c>
      <c r="K67" s="492">
        <v>-3.8999999999999999E-4</v>
      </c>
      <c r="L67" s="492">
        <v>-3.8999999999999999E-4</v>
      </c>
      <c r="M67" s="492">
        <v>-3.8999999999999999E-4</v>
      </c>
      <c r="N67" s="492">
        <v>-3.8999999999999999E-4</v>
      </c>
      <c r="O67" s="492">
        <v>-3.8999999999999999E-4</v>
      </c>
      <c r="P67" s="492">
        <v>-3.8999999999999999E-4</v>
      </c>
      <c r="Q67" s="492">
        <v>-3.8999999999999999E-4</v>
      </c>
      <c r="R67" s="492">
        <v>-3.8999999999999999E-4</v>
      </c>
      <c r="S67" s="496" t="s">
        <v>270</v>
      </c>
      <c r="T67" s="496"/>
      <c r="U67" s="496" t="s">
        <v>270</v>
      </c>
      <c r="V67" s="492">
        <v>2.5000000000000001E-4</v>
      </c>
      <c r="W67" s="492">
        <v>2.5000000000000001E-4</v>
      </c>
      <c r="X67" s="492">
        <v>2.5000000000000001E-4</v>
      </c>
      <c r="Y67" s="492">
        <v>2.5000000000000001E-4</v>
      </c>
      <c r="Z67" s="492">
        <v>2.5000000000000001E-4</v>
      </c>
      <c r="AA67" s="492">
        <v>2.5000000000000001E-4</v>
      </c>
      <c r="AB67" s="492">
        <v>2.5000000000000001E-4</v>
      </c>
      <c r="AC67" s="492">
        <v>2.5000000000000001E-4</v>
      </c>
      <c r="AD67" s="492">
        <v>2.5000000000000001E-4</v>
      </c>
      <c r="AE67" s="492">
        <v>2.5000000000000001E-4</v>
      </c>
      <c r="AF67" s="496" t="s">
        <v>270</v>
      </c>
      <c r="AG67" s="496" t="s">
        <v>270</v>
      </c>
    </row>
    <row r="68" spans="1:52">
      <c r="A68" s="483"/>
      <c r="B68" s="481" t="s">
        <v>40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/>
      <c r="U68" s="496" t="s">
        <v>270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2">
        <v>2.5000000000000001E-4</v>
      </c>
      <c r="AF68" s="496" t="s">
        <v>270</v>
      </c>
      <c r="AG68" s="496" t="s">
        <v>270</v>
      </c>
    </row>
    <row r="69" spans="1:52">
      <c r="A69" s="483"/>
      <c r="B69" s="481" t="s">
        <v>41</v>
      </c>
      <c r="E69" s="492">
        <v>-2.1900000000000001E-3</v>
      </c>
      <c r="F69" s="492">
        <v>-2.1900000000000001E-3</v>
      </c>
      <c r="G69" s="496" t="s">
        <v>270</v>
      </c>
      <c r="H69" s="496" t="s">
        <v>270</v>
      </c>
      <c r="I69" s="492">
        <v>-3.8999999999999999E-4</v>
      </c>
      <c r="J69" s="492">
        <v>-3.8999999999999999E-4</v>
      </c>
      <c r="K69" s="492">
        <v>-3.8999999999999999E-4</v>
      </c>
      <c r="L69" s="492">
        <v>-3.8999999999999999E-4</v>
      </c>
      <c r="M69" s="492">
        <v>-3.8999999999999999E-4</v>
      </c>
      <c r="N69" s="492">
        <v>-3.8999999999999999E-4</v>
      </c>
      <c r="O69" s="492">
        <v>-3.8999999999999999E-4</v>
      </c>
      <c r="P69" s="492">
        <v>-3.8999999999999999E-4</v>
      </c>
      <c r="Q69" s="492">
        <v>-3.8999999999999999E-4</v>
      </c>
      <c r="R69" s="492">
        <v>-3.8999999999999999E-4</v>
      </c>
      <c r="S69" s="496" t="s">
        <v>270</v>
      </c>
      <c r="T69" s="496"/>
      <c r="U69" s="496" t="s">
        <v>270</v>
      </c>
      <c r="V69" s="492">
        <v>2.5000000000000001E-4</v>
      </c>
      <c r="W69" s="492">
        <v>2.5000000000000001E-4</v>
      </c>
      <c r="X69" s="492">
        <v>2.5000000000000001E-4</v>
      </c>
      <c r="Y69" s="492">
        <v>2.5000000000000001E-4</v>
      </c>
      <c r="Z69" s="492">
        <v>2.5000000000000001E-4</v>
      </c>
      <c r="AA69" s="492">
        <v>2.5000000000000001E-4</v>
      </c>
      <c r="AB69" s="492">
        <v>2.5000000000000001E-4</v>
      </c>
      <c r="AC69" s="492">
        <v>2.5000000000000001E-4</v>
      </c>
      <c r="AD69" s="492">
        <v>2.5000000000000001E-4</v>
      </c>
      <c r="AE69" s="492">
        <v>2.5000000000000001E-4</v>
      </c>
      <c r="AF69" s="496" t="s">
        <v>270</v>
      </c>
      <c r="AG69" s="496" t="s">
        <v>270</v>
      </c>
    </row>
    <row r="70" spans="1:52" ht="16" thickBot="1">
      <c r="A70" s="483"/>
      <c r="B70" s="481" t="s">
        <v>42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/>
      <c r="U70" s="496" t="s">
        <v>270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2">
        <v>2.5000000000000001E-4</v>
      </c>
      <c r="AF70" s="496" t="s">
        <v>270</v>
      </c>
      <c r="AG70" s="496" t="s">
        <v>270</v>
      </c>
    </row>
    <row r="71" spans="1:52" ht="16" thickBot="1">
      <c r="A71" s="483"/>
      <c r="B71" s="481" t="s">
        <v>43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/>
      <c r="U71" s="496" t="s">
        <v>270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2">
        <v>2.5000000000000001E-4</v>
      </c>
      <c r="AF71" s="496" t="s">
        <v>270</v>
      </c>
      <c r="AG71" s="496" t="s">
        <v>270</v>
      </c>
      <c r="AI71" s="522" t="str">
        <f>AI4</f>
        <v>201504 Correcting Entry</v>
      </c>
      <c r="AJ71" s="531"/>
      <c r="AK71" s="523"/>
      <c r="AL71" s="523"/>
      <c r="AM71" s="523"/>
      <c r="AN71" s="524"/>
    </row>
    <row r="72" spans="1:52">
      <c r="A72" s="483"/>
      <c r="B72" s="481" t="s">
        <v>74</v>
      </c>
      <c r="E72" s="492">
        <v>-2.0000000000000001E-4</v>
      </c>
      <c r="F72" s="492">
        <v>-2.0000000000000001E-4</v>
      </c>
      <c r="G72" s="496" t="s">
        <v>270</v>
      </c>
      <c r="H72" s="496" t="s">
        <v>270</v>
      </c>
      <c r="I72" s="492">
        <v>-4.0000000000000003E-5</v>
      </c>
      <c r="J72" s="492">
        <v>-4.0000000000000003E-5</v>
      </c>
      <c r="K72" s="492">
        <v>-4.0000000000000003E-5</v>
      </c>
      <c r="L72" s="492">
        <v>-4.0000000000000003E-5</v>
      </c>
      <c r="M72" s="492">
        <v>-4.0000000000000003E-5</v>
      </c>
      <c r="N72" s="492">
        <v>-4.0000000000000003E-5</v>
      </c>
      <c r="O72" s="492">
        <v>-4.0000000000000003E-5</v>
      </c>
      <c r="P72" s="492">
        <v>-4.0000000000000003E-5</v>
      </c>
      <c r="Q72" s="492">
        <v>-4.0000000000000003E-5</v>
      </c>
      <c r="R72" s="492">
        <v>-4.0000000000000003E-5</v>
      </c>
      <c r="S72" s="496" t="s">
        <v>270</v>
      </c>
      <c r="T72" s="496"/>
      <c r="U72" s="496" t="s">
        <v>270</v>
      </c>
      <c r="V72" s="492">
        <v>4.0000000000000003E-5</v>
      </c>
      <c r="W72" s="492">
        <v>4.0000000000000003E-5</v>
      </c>
      <c r="X72" s="492">
        <v>4.0000000000000003E-5</v>
      </c>
      <c r="Y72" s="492">
        <v>4.0000000000000003E-5</v>
      </c>
      <c r="Z72" s="492">
        <v>4.0000000000000003E-5</v>
      </c>
      <c r="AA72" s="492">
        <v>4.0000000000000003E-5</v>
      </c>
      <c r="AB72" s="492">
        <v>4.0000000000000003E-5</v>
      </c>
      <c r="AC72" s="492">
        <v>4.0000000000000003E-5</v>
      </c>
      <c r="AD72" s="492">
        <v>4.0000000000000003E-5</v>
      </c>
      <c r="AE72" s="492">
        <v>4.0000000000000003E-5</v>
      </c>
      <c r="AF72" s="496" t="s">
        <v>270</v>
      </c>
      <c r="AG72" s="496" t="s">
        <v>270</v>
      </c>
      <c r="AI72" s="499" t="s">
        <v>302</v>
      </c>
      <c r="AJ72" s="528">
        <v>191025</v>
      </c>
      <c r="AK72" s="358" t="s">
        <v>288</v>
      </c>
      <c r="AL72" s="358" t="s">
        <v>289</v>
      </c>
      <c r="AM72" s="381">
        <f>IF((SUMIF(V74:AG74,AI71,V76:AG76))&gt;0,(SUMIF(V74:AG74,AI71,V76:AG76)),0)</f>
        <v>0</v>
      </c>
      <c r="AN72" s="500">
        <f>IF((SUMIF(V74:AG74,AI71,V76:AG76))&lt;0,-(SUMIF(V74:AG74,AI71,V76:AG76)),0)</f>
        <v>0</v>
      </c>
    </row>
    <row r="73" spans="1:52">
      <c r="A73" s="483" t="s">
        <v>293</v>
      </c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92"/>
      <c r="Y73" s="492"/>
      <c r="Z73" s="492"/>
      <c r="AA73" s="492"/>
      <c r="AB73" s="492"/>
      <c r="AC73" s="492"/>
      <c r="AD73" s="492"/>
      <c r="AE73" s="492"/>
      <c r="AF73" s="492"/>
      <c r="AG73" s="492"/>
      <c r="AI73" s="499" t="s">
        <v>303</v>
      </c>
      <c r="AJ73" s="528">
        <v>805110</v>
      </c>
      <c r="AK73" s="358" t="s">
        <v>288</v>
      </c>
      <c r="AL73" s="358" t="s">
        <v>289</v>
      </c>
      <c r="AM73" s="381">
        <f>IF((SUMIF(V74:AG74,AI71,V76:AG76))&lt;0,-(SUMIF(V74:AG74,AI71,V76:AG76)),0)</f>
        <v>0</v>
      </c>
      <c r="AN73" s="500">
        <f>IF((SUMIF(V74:AG74,AI71,V76:AG76))&gt;0,(SUMIF(V74:AG74,AI71,V76:AG76)),0)</f>
        <v>0</v>
      </c>
    </row>
    <row r="74" spans="1:52" s="483" customFormat="1">
      <c r="A74" s="484">
        <v>191025</v>
      </c>
      <c r="B74" s="485" t="s">
        <v>256</v>
      </c>
      <c r="C74" s="486" t="s">
        <v>251</v>
      </c>
      <c r="D74" s="487" t="s">
        <v>252</v>
      </c>
      <c r="E74" s="484">
        <v>201309</v>
      </c>
      <c r="F74" s="484">
        <f>E74+1</f>
        <v>201310</v>
      </c>
      <c r="G74" s="484">
        <f>F74+1</f>
        <v>201311</v>
      </c>
      <c r="H74" s="484">
        <f>G74+1</f>
        <v>201312</v>
      </c>
      <c r="I74" s="484">
        <v>201401</v>
      </c>
      <c r="J74" s="484">
        <v>201402</v>
      </c>
      <c r="K74" s="484">
        <v>201403</v>
      </c>
      <c r="L74" s="484">
        <v>201404</v>
      </c>
      <c r="M74" s="484">
        <v>201405</v>
      </c>
      <c r="N74" s="484">
        <v>201406</v>
      </c>
      <c r="O74" s="484">
        <v>201407</v>
      </c>
      <c r="P74" s="484">
        <v>201408</v>
      </c>
      <c r="Q74" s="484">
        <v>201409</v>
      </c>
      <c r="R74" s="484">
        <v>201410</v>
      </c>
      <c r="S74" s="484">
        <v>201411</v>
      </c>
      <c r="T74" s="484"/>
      <c r="U74" s="484">
        <v>201412</v>
      </c>
      <c r="V74" s="484">
        <v>201501</v>
      </c>
      <c r="W74" s="484">
        <f t="shared" ref="W74:AE74" si="41">V74+1</f>
        <v>201502</v>
      </c>
      <c r="X74" s="484">
        <f t="shared" si="41"/>
        <v>201503</v>
      </c>
      <c r="Y74" s="484">
        <f t="shared" si="41"/>
        <v>201504</v>
      </c>
      <c r="Z74" s="484">
        <f t="shared" si="41"/>
        <v>201505</v>
      </c>
      <c r="AA74" s="484">
        <f t="shared" si="41"/>
        <v>201506</v>
      </c>
      <c r="AB74" s="484">
        <f t="shared" si="41"/>
        <v>201507</v>
      </c>
      <c r="AC74" s="484">
        <f t="shared" si="41"/>
        <v>201508</v>
      </c>
      <c r="AD74" s="484">
        <f t="shared" si="41"/>
        <v>201509</v>
      </c>
      <c r="AE74" s="484">
        <f t="shared" si="41"/>
        <v>201510</v>
      </c>
      <c r="AF74" s="484">
        <f>AE74+1</f>
        <v>201511</v>
      </c>
      <c r="AG74" s="484">
        <f t="shared" ref="AG74" si="42">AF74+1</f>
        <v>201512</v>
      </c>
      <c r="AI74" s="499" t="s">
        <v>273</v>
      </c>
      <c r="AJ74" s="528"/>
      <c r="AK74" s="358"/>
      <c r="AL74" s="358"/>
      <c r="AM74" s="381">
        <v>0</v>
      </c>
      <c r="AN74" s="500">
        <v>0</v>
      </c>
      <c r="AR74" s="482"/>
      <c r="AS74" s="482"/>
      <c r="AT74" s="482"/>
      <c r="AU74" s="482"/>
      <c r="AV74" s="482"/>
      <c r="AW74" s="482"/>
      <c r="AX74" s="482"/>
      <c r="AY74" s="482"/>
      <c r="AZ74" s="482"/>
    </row>
    <row r="75" spans="1:52" ht="16" thickBot="1">
      <c r="A75" s="493"/>
      <c r="B75" s="481" t="s">
        <v>253</v>
      </c>
      <c r="E75" s="482">
        <v>49539.047030000002</v>
      </c>
      <c r="F75" s="482">
        <f>E78</f>
        <v>38932.729789999998</v>
      </c>
      <c r="G75" s="482">
        <f>F78</f>
        <v>8140.2385399999985</v>
      </c>
      <c r="H75" s="482">
        <f>G78</f>
        <v>-693.68146000000161</v>
      </c>
      <c r="I75" s="482">
        <v>-13695.721460000002</v>
      </c>
      <c r="J75" s="482">
        <v>-24946.501630000002</v>
      </c>
      <c r="K75" s="482">
        <v>-35935.697740000003</v>
      </c>
      <c r="L75" s="482">
        <v>-43868.737290000005</v>
      </c>
      <c r="M75" s="482">
        <v>-48533.952360000003</v>
      </c>
      <c r="N75" s="482">
        <v>-51097.105150000003</v>
      </c>
      <c r="O75" s="482">
        <v>-53019.406010000006</v>
      </c>
      <c r="P75" s="482">
        <v>-54619.79959000001</v>
      </c>
      <c r="Q75" s="482">
        <v>-56173.40615000001</v>
      </c>
      <c r="R75" s="482">
        <v>-58149.353890000013</v>
      </c>
      <c r="S75" s="482">
        <v>-61477.482430000011</v>
      </c>
      <c r="U75" s="482">
        <v>-56200.445640000013</v>
      </c>
      <c r="V75" s="482">
        <f>U78</f>
        <v>-49897.475640000011</v>
      </c>
      <c r="W75" s="482">
        <f>V78</f>
        <v>-43064.021250000013</v>
      </c>
      <c r="X75" s="482">
        <f t="shared" ref="X75:AE75" si="43">W78</f>
        <v>-38138.117780000015</v>
      </c>
      <c r="Y75" s="482">
        <f t="shared" si="43"/>
        <v>-34282.961340000016</v>
      </c>
      <c r="Z75" s="482">
        <f t="shared" si="43"/>
        <v>-31253.873050000017</v>
      </c>
      <c r="AA75" s="482">
        <f t="shared" si="43"/>
        <v>-29770.929110000015</v>
      </c>
      <c r="AB75" s="482">
        <f t="shared" si="43"/>
        <v>-28708.282540000015</v>
      </c>
      <c r="AC75" s="482">
        <f t="shared" si="43"/>
        <v>-27692.487530000013</v>
      </c>
      <c r="AD75" s="482">
        <f t="shared" si="43"/>
        <v>-26711.886850000014</v>
      </c>
      <c r="AE75" s="482">
        <f t="shared" si="43"/>
        <v>-25249.174790000012</v>
      </c>
      <c r="AF75" s="482">
        <f>AE78</f>
        <v>-23172.041910000011</v>
      </c>
      <c r="AG75" s="482">
        <f>AF78</f>
        <v>-23172.041910000011</v>
      </c>
      <c r="AI75" s="501" t="s">
        <v>273</v>
      </c>
      <c r="AJ75" s="529"/>
      <c r="AK75" s="502"/>
      <c r="AL75" s="502"/>
      <c r="AM75" s="503">
        <v>0</v>
      </c>
      <c r="AN75" s="521">
        <v>0</v>
      </c>
    </row>
    <row r="76" spans="1:52" ht="16" thickBot="1">
      <c r="B76" s="481" t="s">
        <v>23</v>
      </c>
      <c r="C76" s="482">
        <f>SUM(V76:AG76)</f>
        <v>26725.433730000008</v>
      </c>
      <c r="D76" s="494">
        <f>SUM(G76:R76)</f>
        <v>-69617.720970000009</v>
      </c>
      <c r="E76" s="482">
        <f>SUMPRODUCT(E53:E60,E65:E72)</f>
        <v>-10606.31724</v>
      </c>
      <c r="F76" s="482">
        <f>SUMPRODUCT(F53:F60,F65:F72)</f>
        <v>-30792.491249999999</v>
      </c>
      <c r="G76" s="482">
        <v>-8833.92</v>
      </c>
      <c r="H76" s="482">
        <v>-13002.04</v>
      </c>
      <c r="I76" s="482">
        <v>-11250.78017</v>
      </c>
      <c r="J76" s="482">
        <v>-10989.196110000001</v>
      </c>
      <c r="K76" s="482">
        <v>-7933.0395500000013</v>
      </c>
      <c r="L76" s="482">
        <v>-4665.2150699999993</v>
      </c>
      <c r="M76" s="482">
        <v>-2563.1527899999996</v>
      </c>
      <c r="N76" s="482">
        <v>-1922.3008600000003</v>
      </c>
      <c r="O76" s="482">
        <v>-1600.3935799999999</v>
      </c>
      <c r="P76" s="482">
        <v>-1553.6065599999997</v>
      </c>
      <c r="Q76" s="482">
        <v>-1975.9477400000001</v>
      </c>
      <c r="R76" s="482">
        <v>-3328.1285399999992</v>
      </c>
      <c r="S76" s="557">
        <v>5277.0367900000001</v>
      </c>
      <c r="T76" s="557"/>
      <c r="U76" s="557">
        <v>6302.97</v>
      </c>
      <c r="V76" s="482">
        <f>SUMPRODUCT(V53:V60,V65:V72)</f>
        <v>6833.4543899999999</v>
      </c>
      <c r="W76" s="482">
        <f t="shared" ref="W76:AE76" si="44">SUMPRODUCT(W53:W60,W65:W72)</f>
        <v>4925.9034700000011</v>
      </c>
      <c r="X76" s="482">
        <f t="shared" si="44"/>
        <v>3855.1564400000007</v>
      </c>
      <c r="Y76" s="482">
        <f t="shared" si="44"/>
        <v>3029.0882899999997</v>
      </c>
      <c r="Z76" s="482">
        <f t="shared" si="44"/>
        <v>1482.9439400000001</v>
      </c>
      <c r="AA76" s="482">
        <f t="shared" si="44"/>
        <v>1062.6465700000001</v>
      </c>
      <c r="AB76" s="482">
        <f t="shared" si="44"/>
        <v>1015.7950099999999</v>
      </c>
      <c r="AC76" s="482">
        <f t="shared" si="44"/>
        <v>980.60068000000001</v>
      </c>
      <c r="AD76" s="482">
        <f t="shared" si="44"/>
        <v>1462.7120600000003</v>
      </c>
      <c r="AE76" s="482">
        <f t="shared" si="44"/>
        <v>2077.1328800000001</v>
      </c>
      <c r="AF76" s="563"/>
      <c r="AG76" s="563"/>
      <c r="AI76" s="516"/>
      <c r="AJ76" s="530"/>
      <c r="AK76" s="517"/>
      <c r="AL76" s="517"/>
      <c r="AM76" s="517" t="s">
        <v>159</v>
      </c>
      <c r="AN76" s="518">
        <f>SUM(AM72:AM75)-SUM(AN72:AN75)</f>
        <v>0</v>
      </c>
    </row>
    <row r="77" spans="1:52">
      <c r="B77" s="481" t="s">
        <v>148</v>
      </c>
      <c r="C77" s="482">
        <f>SUM(I77:U77)</f>
        <v>0</v>
      </c>
      <c r="E77" s="482">
        <v>0</v>
      </c>
      <c r="F77" s="482">
        <v>0</v>
      </c>
      <c r="G77" s="482">
        <v>0</v>
      </c>
      <c r="H77" s="482">
        <v>0</v>
      </c>
      <c r="I77" s="482">
        <v>0</v>
      </c>
      <c r="J77" s="482">
        <v>0</v>
      </c>
      <c r="K77" s="482">
        <v>0</v>
      </c>
      <c r="L77" s="482">
        <v>0</v>
      </c>
      <c r="M77" s="482">
        <v>0</v>
      </c>
      <c r="N77" s="482">
        <v>0</v>
      </c>
      <c r="O77" s="482">
        <v>0</v>
      </c>
      <c r="P77" s="482">
        <v>0</v>
      </c>
      <c r="Q77" s="482">
        <v>0</v>
      </c>
      <c r="R77" s="482">
        <v>0</v>
      </c>
      <c r="S77" s="482">
        <v>0</v>
      </c>
      <c r="U77" s="482">
        <v>0</v>
      </c>
      <c r="V77" s="482">
        <v>0</v>
      </c>
      <c r="W77" s="482">
        <v>0</v>
      </c>
      <c r="X77" s="482">
        <v>0</v>
      </c>
      <c r="Y77" s="482">
        <v>0</v>
      </c>
      <c r="Z77" s="482">
        <v>0</v>
      </c>
      <c r="AA77" s="482">
        <v>0</v>
      </c>
      <c r="AB77" s="482">
        <v>0</v>
      </c>
      <c r="AC77" s="482">
        <v>0</v>
      </c>
      <c r="AD77" s="482">
        <v>0</v>
      </c>
      <c r="AE77" s="482">
        <v>0</v>
      </c>
      <c r="AF77" s="482">
        <v>0</v>
      </c>
      <c r="AG77" s="482">
        <v>0</v>
      </c>
    </row>
    <row r="78" spans="1:52" ht="16" thickBot="1">
      <c r="B78" s="481" t="s">
        <v>56</v>
      </c>
      <c r="C78" s="541">
        <f>SUM(C76:C77)</f>
        <v>26725.433730000008</v>
      </c>
      <c r="D78" s="541"/>
      <c r="E78" s="541">
        <f t="shared" ref="E78:H78" si="45">SUM(E75:E77)</f>
        <v>38932.729789999998</v>
      </c>
      <c r="F78" s="541">
        <f t="shared" si="45"/>
        <v>8140.2385399999985</v>
      </c>
      <c r="G78" s="541">
        <f t="shared" si="45"/>
        <v>-693.68146000000161</v>
      </c>
      <c r="H78" s="541">
        <f t="shared" si="45"/>
        <v>-13695.721460000002</v>
      </c>
      <c r="I78" s="541">
        <v>-24946.501630000002</v>
      </c>
      <c r="J78" s="541">
        <v>-35935.697740000003</v>
      </c>
      <c r="K78" s="541">
        <v>-43868.737290000005</v>
      </c>
      <c r="L78" s="541">
        <v>-48533.952360000003</v>
      </c>
      <c r="M78" s="541">
        <v>-51097.105150000003</v>
      </c>
      <c r="N78" s="541">
        <v>-53019.406010000006</v>
      </c>
      <c r="O78" s="541">
        <v>-54619.79959000001</v>
      </c>
      <c r="P78" s="541">
        <v>-56173.40615000001</v>
      </c>
      <c r="Q78" s="541">
        <v>-58149.353890000013</v>
      </c>
      <c r="R78" s="541">
        <v>-61477.482430000011</v>
      </c>
      <c r="S78" s="541">
        <v>-56200.445640000013</v>
      </c>
      <c r="T78" s="541"/>
      <c r="U78" s="541">
        <v>-49897.475640000011</v>
      </c>
      <c r="V78" s="541">
        <f>SUM(V75:V77)</f>
        <v>-43064.021250000013</v>
      </c>
      <c r="W78" s="541">
        <f t="shared" ref="W78:AG78" si="46">SUM(W75:W77)</f>
        <v>-38138.117780000015</v>
      </c>
      <c r="X78" s="541">
        <f t="shared" si="46"/>
        <v>-34282.961340000016</v>
      </c>
      <c r="Y78" s="541">
        <f t="shared" si="46"/>
        <v>-31253.873050000017</v>
      </c>
      <c r="Z78" s="541">
        <f t="shared" si="46"/>
        <v>-29770.929110000015</v>
      </c>
      <c r="AA78" s="541">
        <f t="shared" si="46"/>
        <v>-28708.282540000015</v>
      </c>
      <c r="AB78" s="541">
        <f t="shared" si="46"/>
        <v>-27692.487530000013</v>
      </c>
      <c r="AC78" s="541">
        <f t="shared" si="46"/>
        <v>-26711.886850000014</v>
      </c>
      <c r="AD78" s="541">
        <f t="shared" si="46"/>
        <v>-25249.174790000012</v>
      </c>
      <c r="AE78" s="541">
        <f t="shared" si="46"/>
        <v>-23172.041910000011</v>
      </c>
      <c r="AF78" s="541">
        <f t="shared" si="46"/>
        <v>-23172.041910000011</v>
      </c>
      <c r="AG78" s="541">
        <f t="shared" si="46"/>
        <v>-23172.041910000011</v>
      </c>
    </row>
    <row r="79" spans="1:52" ht="16" thickTop="1">
      <c r="B79" s="481" t="s">
        <v>260</v>
      </c>
      <c r="E79" s="482" t="e">
        <f ca="1">_xll.Get_Balance(E74,"YTD","USD","Total","A","","001",$A$74,"GD","WA","DL")</f>
        <v>#NAME?</v>
      </c>
      <c r="F79" s="482" t="e">
        <f ca="1">_xll.Get_Balance(F74,"YTD","USD","Total","A","","001",$A$74,"GD","WA","DL")</f>
        <v>#NAME?</v>
      </c>
      <c r="G79" s="482" t="e">
        <f ca="1">_xll.Get_Balance(G74,"YTD","USD","Total","A","","001",$A$74,"GD","WA","DL")</f>
        <v>#NAME?</v>
      </c>
      <c r="H79" s="482" t="e">
        <f ca="1">_xll.Get_Balance(H74,"YTD","USD","Total","A","","001",$A$74,"GD","WA","DL")</f>
        <v>#NAME?</v>
      </c>
      <c r="I79" s="482">
        <v>-24946.5</v>
      </c>
      <c r="J79" s="482">
        <v>-35935.699999999997</v>
      </c>
      <c r="K79" s="482">
        <v>-43868.74</v>
      </c>
      <c r="L79" s="482">
        <v>-48533.96</v>
      </c>
      <c r="M79" s="482">
        <v>-51097.11</v>
      </c>
      <c r="N79" s="482">
        <v>-53019.41</v>
      </c>
      <c r="O79" s="482">
        <v>-54619.8</v>
      </c>
      <c r="P79" s="482">
        <v>-56173.41</v>
      </c>
      <c r="Q79" s="482">
        <v>-58149.36</v>
      </c>
      <c r="R79" s="482">
        <v>-61477.49</v>
      </c>
      <c r="S79" s="482">
        <v>-56200.45</v>
      </c>
      <c r="U79" s="482">
        <v>-49897.48</v>
      </c>
      <c r="V79" s="482" t="e">
        <f ca="1">_xll.Get_Balance(V74,"YTD","USD","Total","A","","001",$A$74,"GD","WA","DL")</f>
        <v>#NAME?</v>
      </c>
      <c r="W79" s="482" t="e">
        <f ca="1">_xll.Get_Balance(W74,"YTD","USD","Total","A","","001",$A$74,"GD","WA","DL")</f>
        <v>#NAME?</v>
      </c>
      <c r="X79" s="482" t="e">
        <f ca="1">_xll.Get_Balance(X74,"YTD","USD","Total","A","","001",$A$74,"GD","WA","DL")</f>
        <v>#NAME?</v>
      </c>
      <c r="Y79" s="482" t="e">
        <f ca="1">_xll.Get_Balance(Y74,"YTD","USD","Total","A","","001",$A$74,"GD","WA","DL")</f>
        <v>#NAME?</v>
      </c>
      <c r="Z79" s="482" t="e">
        <f ca="1">_xll.Get_Balance(Z74,"YTD","USD","Total","A","","001",$A$74,"GD","WA","DL")</f>
        <v>#NAME?</v>
      </c>
      <c r="AA79" s="482" t="e">
        <f ca="1">_xll.Get_Balance(AA74,"YTD","USD","Total","A","","001",$A$74,"GD","WA","DL")</f>
        <v>#NAME?</v>
      </c>
      <c r="AB79" s="482" t="e">
        <f ca="1">_xll.Get_Balance(AB74,"YTD","USD","Total","A","","001",$A$74,"GD","WA","DL")</f>
        <v>#NAME?</v>
      </c>
      <c r="AC79" s="482" t="e">
        <f ca="1">_xll.Get_Balance(AC74,"YTD","USD","Total","A","","001",$A$74,"GD","WA","DL")</f>
        <v>#NAME?</v>
      </c>
      <c r="AD79" s="482" t="e">
        <f ca="1">_xll.Get_Balance(AD74,"YTD","USD","Total","A","","001",$A$74,"GD","WA","DL")</f>
        <v>#NAME?</v>
      </c>
      <c r="AE79" s="482" t="e">
        <f ca="1">_xll.Get_Balance(AE74,"YTD","USD","Total","A","","001",$A$74,"GD","WA","DL")</f>
        <v>#NAME?</v>
      </c>
      <c r="AF79" s="482" t="e">
        <f ca="1">_xll.Get_Balance(AF74,"YTD","USD","Total","A","","001",$A$74,"GD","WA","DL")</f>
        <v>#NAME?</v>
      </c>
      <c r="AG79" s="482" t="e">
        <f ca="1">_xll.Get_Balance(AG74,"YTD","USD","Total","A","","001",$A$74,"GD","WA","DL")</f>
        <v>#NAME?</v>
      </c>
    </row>
    <row r="80" spans="1:52">
      <c r="B80" s="481" t="s">
        <v>245</v>
      </c>
      <c r="E80" s="482" t="e">
        <f t="shared" ref="E80:H80" ca="1" si="47">E78-E79</f>
        <v>#NAME?</v>
      </c>
      <c r="F80" s="482" t="e">
        <f t="shared" ca="1" si="47"/>
        <v>#NAME?</v>
      </c>
      <c r="G80" s="482" t="e">
        <f t="shared" ca="1" si="47"/>
        <v>#NAME?</v>
      </c>
      <c r="H80" s="482" t="e">
        <f t="shared" ca="1" si="47"/>
        <v>#NAME?</v>
      </c>
      <c r="I80" s="482">
        <v>-1.6300000024784822E-3</v>
      </c>
      <c r="J80" s="482">
        <v>2.2599999938393012E-3</v>
      </c>
      <c r="K80" s="482">
        <v>2.7099999933852814E-3</v>
      </c>
      <c r="L80" s="482">
        <v>7.6399999961722642E-3</v>
      </c>
      <c r="M80" s="482">
        <v>4.8499999975319952E-3</v>
      </c>
      <c r="N80" s="482">
        <v>3.9899999974295497E-3</v>
      </c>
      <c r="O80" s="482">
        <v>4.0999999328050762E-4</v>
      </c>
      <c r="P80" s="482">
        <v>3.8499999936902896E-3</v>
      </c>
      <c r="Q80" s="482">
        <v>6.1099999875295907E-3</v>
      </c>
      <c r="R80" s="482">
        <v>7.5699999870266765E-3</v>
      </c>
      <c r="S80" s="482">
        <v>4.3599999844445847E-3</v>
      </c>
      <c r="U80" s="482">
        <v>4.3599999917205423E-3</v>
      </c>
      <c r="V80" s="482" t="e">
        <f t="shared" ref="V80:AG80" ca="1" si="48">V78-V79</f>
        <v>#NAME?</v>
      </c>
      <c r="W80" s="482" t="e">
        <f t="shared" ca="1" si="48"/>
        <v>#NAME?</v>
      </c>
      <c r="X80" s="482" t="e">
        <f t="shared" ca="1" si="48"/>
        <v>#NAME?</v>
      </c>
      <c r="Y80" s="482" t="e">
        <f t="shared" ca="1" si="48"/>
        <v>#NAME?</v>
      </c>
      <c r="Z80" s="482" t="e">
        <f t="shared" ca="1" si="48"/>
        <v>#NAME?</v>
      </c>
      <c r="AA80" s="482" t="e">
        <f t="shared" ca="1" si="48"/>
        <v>#NAME?</v>
      </c>
      <c r="AB80" s="482" t="e">
        <f t="shared" ca="1" si="48"/>
        <v>#NAME?</v>
      </c>
      <c r="AC80" s="482" t="e">
        <f t="shared" ca="1" si="48"/>
        <v>#NAME?</v>
      </c>
      <c r="AD80" s="482" t="e">
        <f t="shared" ca="1" si="48"/>
        <v>#NAME?</v>
      </c>
      <c r="AE80" s="482" t="e">
        <f t="shared" ca="1" si="48"/>
        <v>#NAME?</v>
      </c>
      <c r="AF80" s="482" t="e">
        <f t="shared" ca="1" si="48"/>
        <v>#NAME?</v>
      </c>
      <c r="AG80" s="482" t="e">
        <f t="shared" ca="1" si="48"/>
        <v>#NAME?</v>
      </c>
    </row>
  </sheetData>
  <mergeCells count="4">
    <mergeCell ref="AS2:AT2"/>
    <mergeCell ref="AV2:AW2"/>
    <mergeCell ref="AY2:AZ2"/>
    <mergeCell ref="AS3:AT3"/>
  </mergeCells>
  <conditionalFormatting sqref="E28 K28:AH28 L62:AH62">
    <cfRule type="cellIs" dxfId="292" priority="23" operator="notEqual">
      <formula>E27</formula>
    </cfRule>
  </conditionalFormatting>
  <conditionalFormatting sqref="F28">
    <cfRule type="cellIs" dxfId="291" priority="22" operator="notEqual">
      <formula>F27</formula>
    </cfRule>
  </conditionalFormatting>
  <conditionalFormatting sqref="G28">
    <cfRule type="cellIs" dxfId="290" priority="21" operator="notEqual">
      <formula>G27</formula>
    </cfRule>
  </conditionalFormatting>
  <conditionalFormatting sqref="H28">
    <cfRule type="cellIs" dxfId="289" priority="20" operator="notEqual">
      <formula>H27</formula>
    </cfRule>
  </conditionalFormatting>
  <conditionalFormatting sqref="G62">
    <cfRule type="cellIs" dxfId="288" priority="19" operator="notEqual">
      <formula>G61</formula>
    </cfRule>
  </conditionalFormatting>
  <conditionalFormatting sqref="H62">
    <cfRule type="cellIs" dxfId="287" priority="18" operator="notEqual">
      <formula>H61</formula>
    </cfRule>
  </conditionalFormatting>
  <conditionalFormatting sqref="E62">
    <cfRule type="cellIs" dxfId="286" priority="17" operator="notEqual">
      <formula>E61</formula>
    </cfRule>
  </conditionalFormatting>
  <conditionalFormatting sqref="F62">
    <cfRule type="cellIs" dxfId="285" priority="16" operator="notEqual">
      <formula>F61</formula>
    </cfRule>
  </conditionalFormatting>
  <conditionalFormatting sqref="AN76 AN45 AN11">
    <cfRule type="cellIs" dxfId="284" priority="15" operator="notEqual">
      <formula>0</formula>
    </cfRule>
  </conditionalFormatting>
  <conditionalFormatting sqref="D62">
    <cfRule type="cellIs" dxfId="283" priority="14" operator="notEqual">
      <formula>D61</formula>
    </cfRule>
  </conditionalFormatting>
  <conditionalFormatting sqref="C62">
    <cfRule type="cellIs" dxfId="282" priority="13" operator="notEqual">
      <formula>C61</formula>
    </cfRule>
  </conditionalFormatting>
  <conditionalFormatting sqref="D28">
    <cfRule type="cellIs" dxfId="281" priority="12" operator="notEqual">
      <formula>D27</formula>
    </cfRule>
  </conditionalFormatting>
  <conditionalFormatting sqref="C28">
    <cfRule type="cellIs" dxfId="280" priority="11" operator="notEqual">
      <formula>C27</formula>
    </cfRule>
  </conditionalFormatting>
  <conditionalFormatting sqref="I28">
    <cfRule type="cellIs" dxfId="279" priority="10" operator="notEqual">
      <formula>I27</formula>
    </cfRule>
  </conditionalFormatting>
  <conditionalFormatting sqref="I62">
    <cfRule type="cellIs" dxfId="278" priority="9" operator="notEqual">
      <formula>I61</formula>
    </cfRule>
  </conditionalFormatting>
  <conditionalFormatting sqref="J28">
    <cfRule type="cellIs" dxfId="277" priority="8" operator="notEqual">
      <formula>J27</formula>
    </cfRule>
  </conditionalFormatting>
  <conditionalFormatting sqref="J62">
    <cfRule type="cellIs" dxfId="276" priority="7" operator="notEqual">
      <formula>J61</formula>
    </cfRule>
  </conditionalFormatting>
  <conditionalFormatting sqref="K62">
    <cfRule type="cellIs" dxfId="275" priority="6" operator="notEqual">
      <formula>K61</formula>
    </cfRule>
  </conditionalFormatting>
  <conditionalFormatting sqref="V28">
    <cfRule type="cellIs" dxfId="274" priority="5" operator="notEqual">
      <formula>V27</formula>
    </cfRule>
  </conditionalFormatting>
  <conditionalFormatting sqref="V62">
    <cfRule type="cellIs" dxfId="273" priority="4" operator="notEqual">
      <formula>V61</formula>
    </cfRule>
  </conditionalFormatting>
  <conditionalFormatting sqref="W28">
    <cfRule type="cellIs" dxfId="272" priority="3" operator="notEqual">
      <formula>W27</formula>
    </cfRule>
  </conditionalFormatting>
  <conditionalFormatting sqref="W62">
    <cfRule type="cellIs" dxfId="271" priority="2" operator="notEqual">
      <formula>W61</formula>
    </cfRule>
  </conditionalFormatting>
  <conditionalFormatting sqref="X62">
    <cfRule type="cellIs" dxfId="270" priority="1" operator="notEqual">
      <formula>X61</formula>
    </cfRule>
  </conditionalFormatting>
  <pageMargins left="0" right="0" top="0.75" bottom="0.75" header="0.3" footer="0.3"/>
  <pageSetup scale="80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>
    <tabColor rgb="FFFFFF00"/>
  </sheetPr>
  <dimension ref="A1:BA94"/>
  <sheetViews>
    <sheetView topLeftCell="B1" zoomScale="90" zoomScaleNormal="90" workbookViewId="0">
      <selection activeCell="W12" sqref="W12"/>
    </sheetView>
  </sheetViews>
  <sheetFormatPr defaultColWidth="9.09765625" defaultRowHeight="15.5"/>
  <cols>
    <col min="1" max="1" width="16.69921875" style="482" customWidth="1"/>
    <col min="2" max="2" width="25.296875" style="481" bestFit="1" customWidth="1"/>
    <col min="3" max="3" width="16.296875" style="482" bestFit="1" customWidth="1"/>
    <col min="4" max="4" width="16.09765625" style="482" customWidth="1"/>
    <col min="5" max="6" width="16.3984375" style="482" hidden="1" customWidth="1"/>
    <col min="7" max="7" width="16.296875" style="482" hidden="1" customWidth="1"/>
    <col min="8" max="9" width="18.3984375" style="482" hidden="1" customWidth="1"/>
    <col min="10" max="12" width="16.296875" style="482" hidden="1" customWidth="1"/>
    <col min="13" max="13" width="16.8984375" style="482" hidden="1" customWidth="1"/>
    <col min="14" max="17" width="16.296875" style="482" hidden="1" customWidth="1"/>
    <col min="18" max="21" width="16.296875" style="482" customWidth="1"/>
    <col min="22" max="22" width="18.3984375" style="482" customWidth="1"/>
    <col min="23" max="25" width="16.296875" style="482" customWidth="1"/>
    <col min="26" max="26" width="16.8984375" style="482" hidden="1" customWidth="1"/>
    <col min="27" max="33" width="16.296875" style="482" hidden="1" customWidth="1"/>
    <col min="34" max="34" width="1.59765625" style="482" customWidth="1"/>
    <col min="35" max="35" width="36.296875" style="482" bestFit="1" customWidth="1"/>
    <col min="36" max="36" width="12.296875" style="525" customWidth="1"/>
    <col min="37" max="37" width="9" style="482" bestFit="1" customWidth="1"/>
    <col min="38" max="38" width="3.3984375" style="482" bestFit="1" customWidth="1"/>
    <col min="39" max="39" width="11.296875" style="482" customWidth="1"/>
    <col min="40" max="40" width="13.59765625" style="482" bestFit="1" customWidth="1"/>
    <col min="41" max="41" width="0.59765625" style="482" customWidth="1"/>
    <col min="42" max="42" width="3.69921875" style="482" customWidth="1"/>
    <col min="43" max="43" width="3.3984375" style="482" customWidth="1"/>
    <col min="44" max="44" width="2.8984375" style="482" customWidth="1"/>
    <col min="45" max="45" width="15.59765625" style="482" bestFit="1" customWidth="1"/>
    <col min="46" max="47" width="13.59765625" style="482" bestFit="1" customWidth="1"/>
    <col min="48" max="48" width="0.69921875" style="482" customWidth="1"/>
    <col min="49" max="50" width="13.59765625" style="482" bestFit="1" customWidth="1"/>
    <col min="51" max="51" width="1.09765625" style="482" customWidth="1"/>
    <col min="52" max="52" width="10.8984375" style="482" bestFit="1" customWidth="1"/>
    <col min="53" max="53" width="11.09765625" style="482" customWidth="1"/>
    <col min="54" max="16384" width="9.09765625" style="482"/>
  </cols>
  <sheetData>
    <row r="1" spans="1:53" ht="16.5" customHeight="1">
      <c r="A1" s="480" t="s">
        <v>265</v>
      </c>
      <c r="AI1" s="480" t="s">
        <v>315</v>
      </c>
      <c r="AS1" s="636"/>
      <c r="AT1" s="711" t="s">
        <v>341</v>
      </c>
      <c r="AU1" s="712"/>
      <c r="AW1" s="713" t="s">
        <v>346</v>
      </c>
      <c r="AX1" s="713"/>
      <c r="AZ1" s="711" t="s">
        <v>347</v>
      </c>
      <c r="BA1" s="711"/>
    </row>
    <row r="2" spans="1:53" ht="16" thickBot="1">
      <c r="A2" s="483" t="s">
        <v>267</v>
      </c>
      <c r="S2" s="483" t="s">
        <v>337</v>
      </c>
      <c r="T2" s="483" t="s">
        <v>338</v>
      </c>
      <c r="V2" s="619"/>
      <c r="AS2" s="628" t="s">
        <v>340</v>
      </c>
      <c r="AT2" s="714"/>
      <c r="AU2" s="715"/>
      <c r="AV2" s="635"/>
      <c r="AW2" s="573"/>
      <c r="AX2" s="573"/>
      <c r="AY2" s="584"/>
      <c r="AZ2" s="573"/>
      <c r="BA2" s="574"/>
    </row>
    <row r="3" spans="1:53" s="483" customFormat="1" ht="31.5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604">
        <v>201411</v>
      </c>
      <c r="T3" s="604">
        <v>201411</v>
      </c>
      <c r="U3" s="484">
        <v>201412</v>
      </c>
      <c r="V3" s="602">
        <v>201501</v>
      </c>
      <c r="W3" s="484">
        <f>V3+1</f>
        <v>201502</v>
      </c>
      <c r="X3" s="484">
        <f t="shared" ref="X3:AG3" si="0">W3+1</f>
        <v>201503</v>
      </c>
      <c r="Y3" s="484">
        <f t="shared" si="0"/>
        <v>201504</v>
      </c>
      <c r="Z3" s="484">
        <f t="shared" si="0"/>
        <v>201505</v>
      </c>
      <c r="AA3" s="484">
        <f t="shared" si="0"/>
        <v>201506</v>
      </c>
      <c r="AB3" s="484">
        <f t="shared" si="0"/>
        <v>201507</v>
      </c>
      <c r="AC3" s="484">
        <f t="shared" si="0"/>
        <v>201508</v>
      </c>
      <c r="AD3" s="484">
        <f t="shared" si="0"/>
        <v>201509</v>
      </c>
      <c r="AE3" s="484">
        <f t="shared" si="0"/>
        <v>201510</v>
      </c>
      <c r="AF3" s="484">
        <f t="shared" si="0"/>
        <v>201511</v>
      </c>
      <c r="AG3" s="484">
        <f t="shared" si="0"/>
        <v>201512</v>
      </c>
      <c r="AJ3" s="484"/>
      <c r="AS3" s="630">
        <v>419600</v>
      </c>
      <c r="AT3" s="625"/>
      <c r="AU3" s="577">
        <v>414.5</v>
      </c>
      <c r="AV3" s="588"/>
      <c r="AW3" s="576"/>
      <c r="AX3" s="576">
        <v>443.6</v>
      </c>
      <c r="AY3" s="588"/>
      <c r="AZ3" s="576"/>
      <c r="BA3" s="654">
        <v>29.1</v>
      </c>
    </row>
    <row r="4" spans="1:53" s="483" customFormat="1" ht="16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605">
        <v>0.01</v>
      </c>
      <c r="T4" s="605">
        <v>0.01</v>
      </c>
      <c r="U4" s="488">
        <v>0.01</v>
      </c>
      <c r="V4" s="620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I4" s="544" t="s">
        <v>339</v>
      </c>
      <c r="AJ4" s="526"/>
      <c r="AK4" s="514"/>
      <c r="AL4" s="514"/>
      <c r="AM4" s="514"/>
      <c r="AN4" s="515"/>
      <c r="AS4" s="633">
        <v>191010</v>
      </c>
      <c r="AT4" s="576"/>
      <c r="AU4" s="576"/>
      <c r="AV4" s="588"/>
      <c r="AW4" s="576"/>
      <c r="AX4" s="576"/>
      <c r="AY4" s="588"/>
      <c r="AZ4" s="659">
        <v>29.1</v>
      </c>
      <c r="BA4" s="577"/>
    </row>
    <row r="5" spans="1:53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606">
        <v>-1868566.8768950021</v>
      </c>
      <c r="T5" s="606">
        <f>R13</f>
        <v>-1868566.8768950021</v>
      </c>
      <c r="U5" s="482">
        <f>T13</f>
        <v>382320.81310499797</v>
      </c>
      <c r="V5" s="576">
        <f>U13</f>
        <v>-341974.66575599887</v>
      </c>
      <c r="W5" s="482">
        <f>V13</f>
        <v>-645143.21359599999</v>
      </c>
      <c r="X5" s="482">
        <f t="shared" ref="X5:AG5" si="1">W13</f>
        <v>-851029.53834699967</v>
      </c>
      <c r="Y5" s="482">
        <f t="shared" si="1"/>
        <v>-383808.34611199814</v>
      </c>
      <c r="Z5" s="482">
        <f t="shared" si="1"/>
        <v>-1320868.8976199988</v>
      </c>
      <c r="AA5" s="482">
        <f t="shared" si="1"/>
        <v>-1486889.8571219984</v>
      </c>
      <c r="AB5" s="482">
        <f t="shared" si="1"/>
        <v>-1775400.7536519992</v>
      </c>
      <c r="AC5" s="482">
        <f t="shared" si="1"/>
        <v>-2119241.5466639982</v>
      </c>
      <c r="AD5" s="482">
        <f t="shared" si="1"/>
        <v>-2515783.3049139977</v>
      </c>
      <c r="AE5" s="482">
        <f t="shared" si="1"/>
        <v>-3164033.0479219989</v>
      </c>
      <c r="AF5" s="482">
        <f t="shared" si="1"/>
        <v>-3819465.6832769993</v>
      </c>
      <c r="AG5" s="482">
        <f t="shared" si="1"/>
        <v>-4461548.3570869993</v>
      </c>
      <c r="AI5" s="497" t="s">
        <v>304</v>
      </c>
      <c r="AJ5" s="527">
        <v>419600</v>
      </c>
      <c r="AK5" s="498" t="s">
        <v>288</v>
      </c>
      <c r="AL5" s="498" t="s">
        <v>291</v>
      </c>
      <c r="AM5" s="655">
        <f>-BA3+-BA6+AZ20</f>
        <v>12.279999999999994</v>
      </c>
      <c r="AN5" s="520">
        <v>0</v>
      </c>
      <c r="AS5" s="628" t="s">
        <v>342</v>
      </c>
      <c r="AT5" s="637"/>
      <c r="AU5" s="573"/>
      <c r="AV5" s="584"/>
      <c r="AW5" s="573"/>
      <c r="AX5" s="573"/>
      <c r="AY5" s="584"/>
      <c r="AZ5" s="573"/>
      <c r="BA5" s="574"/>
    </row>
    <row r="6" spans="1:53">
      <c r="B6" s="481" t="s">
        <v>254</v>
      </c>
      <c r="C6" s="482">
        <f>SUM(V6:AG6)</f>
        <v>-5056717.7079139985</v>
      </c>
      <c r="D6" s="482">
        <f>-1369125.49+SUM(E6:N6,E9:U9)</f>
        <v>1649242.7378546775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606">
        <v>-901115.83999999752</v>
      </c>
      <c r="T6" s="606">
        <v>143183.96</v>
      </c>
      <c r="U6" s="482">
        <v>-209833.86169599695</v>
      </c>
      <c r="V6" s="576">
        <f>Jan!$J$53</f>
        <v>331968.15844599903</v>
      </c>
      <c r="W6" s="482">
        <f>Feb!$J$53</f>
        <v>0</v>
      </c>
      <c r="X6" s="482">
        <f>Mar!$J$53</f>
        <v>547802.71264300169</v>
      </c>
      <c r="Y6" s="482">
        <f>Apr!$J$53</f>
        <v>-1029654.8148680007</v>
      </c>
      <c r="Z6" s="482">
        <f>May!$J$53</f>
        <v>-494908.28808599967</v>
      </c>
      <c r="AA6" s="482">
        <f>Jun!$J$53</f>
        <v>-803843.28933000052</v>
      </c>
      <c r="AB6" s="482">
        <f>Jul!$J$53</f>
        <v>-778841.02357199905</v>
      </c>
      <c r="AC6" s="482">
        <f>Aug!$J$53</f>
        <v>-816009.11660199915</v>
      </c>
      <c r="AD6" s="482">
        <f>Sep!$J$53</f>
        <v>-995450.54456800083</v>
      </c>
      <c r="AE6" s="482">
        <f>Oct!$J$55</f>
        <v>-911936.74747700011</v>
      </c>
      <c r="AF6" s="482">
        <f>Nov!$J$55</f>
        <v>-105844.75449999981</v>
      </c>
      <c r="AG6" s="482">
        <f>Dec!$J$53</f>
        <v>0</v>
      </c>
      <c r="AI6" s="499" t="s">
        <v>305</v>
      </c>
      <c r="AJ6" s="528">
        <v>431600</v>
      </c>
      <c r="AK6" s="358" t="s">
        <v>288</v>
      </c>
      <c r="AL6" s="358" t="s">
        <v>291</v>
      </c>
      <c r="AM6" s="381">
        <v>0</v>
      </c>
      <c r="AN6" s="652">
        <f>BA7+BA10+BA17-AZ12+BA14+0.07</f>
        <v>178.13</v>
      </c>
      <c r="AS6" s="630">
        <v>419600</v>
      </c>
      <c r="AT6" s="625"/>
      <c r="AU6" s="576"/>
      <c r="AV6" s="588"/>
      <c r="AW6" s="576"/>
      <c r="AX6" s="576">
        <v>16.8</v>
      </c>
      <c r="AY6" s="588"/>
      <c r="AZ6" s="576"/>
      <c r="BA6" s="654">
        <v>16.8</v>
      </c>
    </row>
    <row r="7" spans="1:53">
      <c r="B7" s="481" t="s">
        <v>255</v>
      </c>
      <c r="C7" s="482">
        <f t="shared" ref="C7:C11" si="2">SUM(V7:AG7)</f>
        <v>954206.43658299907</v>
      </c>
      <c r="D7" s="482">
        <f>1867859.17+SUM(E7:N7,E10:U10)</f>
        <v>879829.6082403796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606">
        <v>530386.54777600011</v>
      </c>
      <c r="T7" s="606">
        <v>-444070.48</v>
      </c>
      <c r="U7" s="482">
        <v>-514478.41716499988</v>
      </c>
      <c r="V7" s="576">
        <f>Jan!$K$53</f>
        <v>-634725.57628600008</v>
      </c>
      <c r="W7" s="482">
        <f>Feb!$K$53</f>
        <v>-205263.17475099966</v>
      </c>
      <c r="X7" s="482">
        <f>Mar!$K$53</f>
        <v>-80067.220408000168</v>
      </c>
      <c r="Y7" s="482">
        <f>Apr!$K$53</f>
        <v>93304.253359999973</v>
      </c>
      <c r="Z7" s="482">
        <f>May!$K$53</f>
        <v>330056.73858399986</v>
      </c>
      <c r="AA7" s="482">
        <f>Jun!$K$53</f>
        <v>516691.11279999983</v>
      </c>
      <c r="AB7" s="482">
        <f>Jul!$K$53</f>
        <v>436622.32056000002</v>
      </c>
      <c r="AC7" s="482">
        <f>Aug!$K$53</f>
        <v>421397.81835199991</v>
      </c>
      <c r="AD7" s="482">
        <f>Sep!$K$53</f>
        <v>349566.40155999974</v>
      </c>
      <c r="AE7" s="482">
        <f>Oct!$K$55</f>
        <v>259412.69212199986</v>
      </c>
      <c r="AF7" s="563">
        <f>Nov!$K$55</f>
        <v>-532788.92931000004</v>
      </c>
      <c r="AG7" s="482">
        <f>Dec!$K$53</f>
        <v>0</v>
      </c>
      <c r="AI7" s="499" t="s">
        <v>306</v>
      </c>
      <c r="AJ7" s="528">
        <v>191010</v>
      </c>
      <c r="AK7" s="358" t="s">
        <v>288</v>
      </c>
      <c r="AL7" s="358" t="s">
        <v>291</v>
      </c>
      <c r="AM7" s="660">
        <f>AZ4+AZ8+AZ11+AZ15+AZ18-BA13-BA24-0.23</f>
        <v>165.85</v>
      </c>
      <c r="AN7" s="500">
        <f>IF((SUMIF(V3:AG3,AI4,V6:AG6)+SUMIF(V3:AG3,AI4,V7:AG7)+SUMIF(V3:AG3,AI4,V8:AG8))&lt;0,-(SUMIF(V3:AG3,AI4,V6:AG6)+SUMIF(V3:AG3,AI4,V7:AG7)++SUMIF(V3:AG3,AI4,V8:AG8)),0)</f>
        <v>0</v>
      </c>
      <c r="AS7" s="630">
        <v>431600</v>
      </c>
      <c r="AT7" s="625">
        <v>41.42</v>
      </c>
      <c r="AU7" s="576"/>
      <c r="AV7" s="588"/>
      <c r="AW7" s="576"/>
      <c r="AX7" s="576"/>
      <c r="AY7" s="588"/>
      <c r="AZ7" s="576"/>
      <c r="BA7" s="650">
        <v>41.42</v>
      </c>
    </row>
    <row r="8" spans="1:53">
      <c r="B8" s="481" t="s">
        <v>258</v>
      </c>
      <c r="C8" s="482">
        <f t="shared" si="2"/>
        <v>-20780.379999999997</v>
      </c>
      <c r="D8" s="482">
        <f>-7356.73+SUM(E8:N8,E11:U11)</f>
        <v>22258.26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615">
        <f>ROUND(((S5+S9+S10+S11)*(S4/12))+((SUM(S6:S7)/2)*(S4/12)),2)</f>
        <v>414.5</v>
      </c>
      <c r="T8" s="615">
        <f>ROUND(((T5+T9+T10+T11)*(T4/12))+((SUM(T6:T7)/2)*(T4/12)),2)</f>
        <v>443.6</v>
      </c>
      <c r="U8" s="617">
        <f>ROUND(((U5+U9+U10+U11)*(U4/12))+((SUM(U6:U7)/2)*(U4/12)),2)</f>
        <v>16.8</v>
      </c>
      <c r="V8" s="617">
        <f>ROUND(((V5+V9+V10+V11)*(V4/12))+((SUM(V6:V7)/2)*(V4/12)),2)</f>
        <v>-411.13</v>
      </c>
      <c r="W8" s="489">
        <f>ROUND(((W5+W9+W10+W11)*(W4/12))+((SUM(W6:W7)/2)*(W4/12)),2)</f>
        <v>-623.15</v>
      </c>
      <c r="X8" s="489">
        <f t="shared" ref="X8:AD8" si="3">ROUND(((X5+X9+X10+X11)*(X4/12))+((SUM(X6:X7)/2)*(X4/12)),2)</f>
        <v>-514.29999999999995</v>
      </c>
      <c r="Y8" s="489">
        <f t="shared" si="3"/>
        <v>-709.99</v>
      </c>
      <c r="Z8" s="489">
        <f t="shared" si="3"/>
        <v>-1169.4100000000001</v>
      </c>
      <c r="AA8" s="489">
        <f t="shared" si="3"/>
        <v>-1358.72</v>
      </c>
      <c r="AB8" s="489">
        <f t="shared" si="3"/>
        <v>-1622.09</v>
      </c>
      <c r="AC8" s="489">
        <f t="shared" si="3"/>
        <v>-1930.46</v>
      </c>
      <c r="AD8" s="489">
        <f t="shared" si="3"/>
        <v>-2365.6</v>
      </c>
      <c r="AE8" s="489">
        <f>ROUND(((AE5+AE9+AE10+AE11)*(AE4/12))+((SUM(AE6:AE7)/2)*(AE4/12)),2)</f>
        <v>-2908.58</v>
      </c>
      <c r="AF8" s="482">
        <f>ROUND(((AF5+AF9+AF10+AF11)*(AF4/12))+((SUM(AF6:AF7)/2)*(AF4/12)),2)</f>
        <v>-3448.99</v>
      </c>
      <c r="AG8" s="489">
        <f>ROUND(((AG5+AG9+AG10+AG11)*(AG4/12))+((SUM(AG6:AG7)/2)*(AG4/12)),2)</f>
        <v>-3717.96</v>
      </c>
      <c r="AI8" s="499" t="s">
        <v>307</v>
      </c>
      <c r="AJ8" s="528">
        <v>805120</v>
      </c>
      <c r="AK8" s="358" t="s">
        <v>288</v>
      </c>
      <c r="AL8" s="358" t="s">
        <v>291</v>
      </c>
      <c r="AM8" s="381">
        <v>0</v>
      </c>
      <c r="AN8" s="500">
        <f>IF((SUMIF(V3:AG3,AI4,V6:AG6)+SUMIF(V3:AG3,AI4,V7:AG7))&gt;0,(SUMIF(V3:AG3,AI4,V6:AG6)+SUMIF(V3:AG3,AI4,V7:AG7)),0)</f>
        <v>0</v>
      </c>
      <c r="AS8" s="633">
        <v>191010</v>
      </c>
      <c r="AT8" s="576"/>
      <c r="AU8" s="577">
        <v>41.42</v>
      </c>
      <c r="AV8" s="577"/>
      <c r="AW8" s="576">
        <v>16.8</v>
      </c>
      <c r="AX8" s="576"/>
      <c r="AY8" s="588"/>
      <c r="AZ8" s="659">
        <f>41.42+16.8</f>
        <v>58.22</v>
      </c>
      <c r="BA8" s="577"/>
    </row>
    <row r="9" spans="1:53">
      <c r="B9" s="481" t="s">
        <v>262</v>
      </c>
      <c r="C9" s="482">
        <f t="shared" si="2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607">
        <v>1649242.74</v>
      </c>
      <c r="T9" s="607">
        <v>1649242.74</v>
      </c>
      <c r="U9" s="482">
        <v>0</v>
      </c>
      <c r="V9" s="576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482">
        <v>0</v>
      </c>
      <c r="AG9" s="482">
        <v>0</v>
      </c>
      <c r="AI9" s="499" t="s">
        <v>11</v>
      </c>
      <c r="AJ9" s="528">
        <v>191010</v>
      </c>
      <c r="AK9" s="358" t="s">
        <v>288</v>
      </c>
      <c r="AL9" s="358" t="s">
        <v>291</v>
      </c>
      <c r="AM9" s="381">
        <v>0</v>
      </c>
      <c r="AN9" s="500">
        <v>0</v>
      </c>
      <c r="AS9" s="628" t="s">
        <v>345</v>
      </c>
      <c r="AT9" s="637"/>
      <c r="AU9" s="573"/>
      <c r="AV9" s="584"/>
      <c r="AW9" s="573"/>
      <c r="AX9" s="573"/>
      <c r="AY9" s="584"/>
      <c r="AZ9" s="573"/>
      <c r="BA9" s="574"/>
    </row>
    <row r="10" spans="1:53" ht="16" thickBot="1">
      <c r="B10" s="481" t="s">
        <v>263</v>
      </c>
      <c r="C10" s="482">
        <f t="shared" si="2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607">
        <v>879829.61</v>
      </c>
      <c r="T10" s="607">
        <v>879829.61</v>
      </c>
      <c r="U10" s="482">
        <v>0</v>
      </c>
      <c r="V10" s="576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482">
        <v>0</v>
      </c>
      <c r="AG10" s="482">
        <v>0</v>
      </c>
      <c r="AI10" s="501" t="str">
        <f>AI9</f>
        <v>Tracker Transfer</v>
      </c>
      <c r="AJ10" s="529">
        <f>AJ46</f>
        <v>191000</v>
      </c>
      <c r="AK10" s="529" t="str">
        <f>AK46</f>
        <v>GD</v>
      </c>
      <c r="AL10" s="529" t="str">
        <f>AL46</f>
        <v>ID</v>
      </c>
      <c r="AM10" s="503">
        <v>0</v>
      </c>
      <c r="AN10" s="521">
        <f>AM9</f>
        <v>0</v>
      </c>
      <c r="AS10" s="630">
        <v>431600</v>
      </c>
      <c r="AT10" s="638">
        <v>49.16</v>
      </c>
      <c r="AU10" s="576"/>
      <c r="AV10" s="588"/>
      <c r="AW10" s="576"/>
      <c r="AX10" s="576"/>
      <c r="AY10" s="588"/>
      <c r="AZ10" s="576"/>
      <c r="BA10" s="650">
        <v>49.16</v>
      </c>
    </row>
    <row r="11" spans="1:53" ht="16" thickBot="1">
      <c r="B11" s="481" t="s">
        <v>264</v>
      </c>
      <c r="C11" s="482">
        <f t="shared" si="2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607">
        <v>22258.26</v>
      </c>
      <c r="T11" s="607">
        <v>22258.26</v>
      </c>
      <c r="U11" s="482">
        <v>0</v>
      </c>
      <c r="V11" s="576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482">
        <v>0</v>
      </c>
      <c r="AG11" s="482">
        <v>0</v>
      </c>
      <c r="AI11" s="516"/>
      <c r="AJ11" s="530"/>
      <c r="AK11" s="517"/>
      <c r="AL11" s="517"/>
      <c r="AM11" s="517" t="s">
        <v>159</v>
      </c>
      <c r="AN11" s="518">
        <f>SUM(AM5:AM10)-SUM(AN5:AN10)</f>
        <v>0</v>
      </c>
      <c r="AS11" s="633">
        <v>191010</v>
      </c>
      <c r="AT11" s="603"/>
      <c r="AU11" s="576">
        <v>49.16</v>
      </c>
      <c r="AV11" s="588"/>
      <c r="AW11" s="576"/>
      <c r="AX11" s="576"/>
      <c r="AY11" s="588"/>
      <c r="AZ11" s="659">
        <v>49.16</v>
      </c>
      <c r="BA11" s="577"/>
    </row>
    <row r="12" spans="1:53">
      <c r="B12" s="481" t="s">
        <v>148</v>
      </c>
      <c r="C12" s="482">
        <f>SUM(V12:AG12)</f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606">
        <v>0</v>
      </c>
      <c r="T12" s="606">
        <v>0</v>
      </c>
      <c r="U12" s="482">
        <v>0</v>
      </c>
      <c r="V12" s="576">
        <v>0</v>
      </c>
      <c r="W12" s="482">
        <v>0</v>
      </c>
      <c r="X12" s="482">
        <v>0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  <c r="AG12" s="482">
        <v>0</v>
      </c>
      <c r="AR12" s="576"/>
      <c r="AS12" s="633">
        <v>431600</v>
      </c>
      <c r="AT12" s="603"/>
      <c r="AU12" s="576">
        <v>29.11</v>
      </c>
      <c r="AV12" s="588"/>
      <c r="AW12" s="576"/>
      <c r="AX12" s="576"/>
      <c r="AY12" s="588"/>
      <c r="AZ12" s="651">
        <v>29.11</v>
      </c>
      <c r="BA12" s="577"/>
    </row>
    <row r="13" spans="1:53" ht="16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4">SUM(F5:F12)</f>
        <v>-179650.44284699953</v>
      </c>
      <c r="G13" s="541">
        <f t="shared" si="4"/>
        <v>-770749.33284699952</v>
      </c>
      <c r="H13" s="541">
        <f t="shared" si="4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608">
        <v>312448.94088100048</v>
      </c>
      <c r="T13" s="622">
        <f>SUM(T5:T12)</f>
        <v>382320.81310499797</v>
      </c>
      <c r="U13" s="621">
        <f t="shared" ref="U13:AG13" si="5">SUM(U5:U12)</f>
        <v>-341974.66575599887</v>
      </c>
      <c r="V13" s="621">
        <f t="shared" si="5"/>
        <v>-645143.21359599999</v>
      </c>
      <c r="W13" s="541">
        <f t="shared" si="5"/>
        <v>-851029.53834699967</v>
      </c>
      <c r="X13" s="541">
        <f t="shared" si="5"/>
        <v>-383808.34611199814</v>
      </c>
      <c r="Y13" s="541">
        <f t="shared" si="5"/>
        <v>-1320868.8976199988</v>
      </c>
      <c r="Z13" s="541">
        <f t="shared" si="5"/>
        <v>-1486889.8571219984</v>
      </c>
      <c r="AA13" s="541">
        <f t="shared" si="5"/>
        <v>-1775400.7536519992</v>
      </c>
      <c r="AB13" s="541">
        <f t="shared" si="5"/>
        <v>-2119241.5466639982</v>
      </c>
      <c r="AC13" s="541">
        <f t="shared" si="5"/>
        <v>-2515783.3049139977</v>
      </c>
      <c r="AD13" s="541">
        <f t="shared" si="5"/>
        <v>-3164033.0479219989</v>
      </c>
      <c r="AE13" s="541">
        <f t="shared" si="5"/>
        <v>-3819465.6832769993</v>
      </c>
      <c r="AF13" s="541">
        <f t="shared" si="5"/>
        <v>-4461548.3570869993</v>
      </c>
      <c r="AG13" s="541">
        <f t="shared" si="5"/>
        <v>-4465266.3170869993</v>
      </c>
      <c r="AI13" s="619"/>
      <c r="AJ13" s="716"/>
      <c r="AK13" s="716"/>
      <c r="AL13" s="576"/>
      <c r="AM13" s="576"/>
      <c r="AN13" s="576"/>
      <c r="AO13" s="576"/>
      <c r="AP13" s="576"/>
      <c r="AQ13" s="576"/>
      <c r="AR13" s="576"/>
      <c r="AS13" s="633">
        <v>191010</v>
      </c>
      <c r="AT13" s="603"/>
      <c r="AU13" s="576"/>
      <c r="AV13" s="588"/>
      <c r="AW13" s="576"/>
      <c r="AX13" s="576"/>
      <c r="AY13" s="588"/>
      <c r="AZ13" s="576"/>
      <c r="BA13" s="657">
        <v>29.11</v>
      </c>
    </row>
    <row r="14" spans="1:53" ht="16" thickTop="1">
      <c r="B14" s="481" t="s">
        <v>260</v>
      </c>
      <c r="E14" s="482" t="e">
        <f ca="1">_xll.Get_Balance(E3,"YTD","USD","Total","A","","001",$A$3,"GD","ID","DL")</f>
        <v>#NAME?</v>
      </c>
      <c r="F14" s="482" t="e">
        <f ca="1">_xll.Get_Balance(F3,"YTD","USD","Total","A","","001",$A$3,"GD","ID","DL")</f>
        <v>#NAME?</v>
      </c>
      <c r="G14" s="482" t="e">
        <f ca="1">_xll.Get_Balance(G3,"YTD","USD","Total","A","","001",$A$3,"GD","ID","DL")</f>
        <v>#NAME?</v>
      </c>
      <c r="H14" s="482" t="e">
        <f ca="1">_xll.Get_Balance(H3,"YTD","USD","Total","A","","001",$A$3,"GD","ID","DL")</f>
        <v>#NAME?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606">
        <v>312448.96999999997</v>
      </c>
      <c r="T14" s="606" t="e">
        <f ca="1">_xll.Get_Balance(T3,"YTD","USD","Total","A","","001",$A$3,"GD","ID","DL")</f>
        <v>#NAME?</v>
      </c>
      <c r="U14" s="576" t="e">
        <f ca="1">_xll.Get_Balance(U3,"YTD","USD","Total","A","","001",$A$3,"GD","ID","DL")</f>
        <v>#NAME?</v>
      </c>
      <c r="V14" s="576" t="e">
        <f ca="1">_xll.Get_Balance(V3,"YTD","USD","Total","A","","001",$A$3,"GD","ID","DL")</f>
        <v>#NAME?</v>
      </c>
      <c r="W14" s="482" t="e">
        <f ca="1">_xll.Get_Balance(W3,"YTD","USD","Total","A","","001",$A$3,"GD","ID","DL")</f>
        <v>#NAME?</v>
      </c>
      <c r="X14" s="482" t="e">
        <f ca="1">_xll.Get_Balance(X3,"YTD","USD","Total","A","","001",$A$3,"GD","ID","DL")</f>
        <v>#NAME?</v>
      </c>
      <c r="Y14" s="482" t="e">
        <f ca="1">_xll.Get_Balance(Y3,"YTD","USD","Total","A","","001",$A$3,"GD","ID","DL")</f>
        <v>#NAME?</v>
      </c>
      <c r="Z14" s="482" t="e">
        <f ca="1">_xll.Get_Balance(Z3,"YTD","USD","Total","A","","001",$A$3,"GD","ID","DL")</f>
        <v>#NAME?</v>
      </c>
      <c r="AA14" s="482" t="e">
        <f ca="1">_xll.Get_Balance(AA3,"YTD","USD","Total","A","","001",$A$3,"GD","ID","DL")</f>
        <v>#NAME?</v>
      </c>
      <c r="AB14" s="482" t="e">
        <f ca="1">_xll.Get_Balance(AB3,"YTD","USD","Total","A","","001",$A$3,"GD","ID","DL")</f>
        <v>#NAME?</v>
      </c>
      <c r="AC14" s="482" t="e">
        <f ca="1">_xll.Get_Balance(AC3,"YTD","USD","Total","A","","001",$A$3,"GD","ID","DL")</f>
        <v>#NAME?</v>
      </c>
      <c r="AD14" s="482" t="e">
        <f ca="1">_xll.Get_Balance(AD3,"YTD","USD","Total","A","","001",$A$3,"GD","ID","DL")</f>
        <v>#NAME?</v>
      </c>
      <c r="AE14" s="482" t="e">
        <f ca="1">_xll.Get_Balance(AE3,"YTD","USD","Total","A","","001",$A$3,"GD","ID","DL")</f>
        <v>#NAME?</v>
      </c>
      <c r="AF14" s="482" t="e">
        <f ca="1">_xll.Get_Balance(AF3,"YTD","USD","Total","A","","001",$A$3,"GD","ID","DL")</f>
        <v>#NAME?</v>
      </c>
      <c r="AG14" s="482" t="e">
        <f ca="1">_xll.Get_Balance(AG3,"YTD","USD","Total","A","","001",$A$3,"GD","ID","DL")</f>
        <v>#NAME?</v>
      </c>
      <c r="AI14" s="624"/>
      <c r="AJ14" s="576"/>
      <c r="AK14" s="576"/>
      <c r="AL14" s="576"/>
      <c r="AM14" s="576"/>
      <c r="AN14" s="576"/>
      <c r="AO14" s="576"/>
      <c r="AP14" s="576"/>
      <c r="AQ14" s="576"/>
      <c r="AR14" s="576"/>
      <c r="AS14" s="633">
        <v>431600</v>
      </c>
      <c r="AT14" s="603">
        <v>469.4</v>
      </c>
      <c r="AU14" s="576"/>
      <c r="AV14" s="588"/>
      <c r="AW14" s="576">
        <v>411.13</v>
      </c>
      <c r="AX14" s="576"/>
      <c r="AY14" s="588"/>
      <c r="AZ14" s="576"/>
      <c r="BA14" s="650">
        <v>58.27</v>
      </c>
    </row>
    <row r="15" spans="1:53" ht="16" thickBot="1">
      <c r="B15" s="481" t="s">
        <v>245</v>
      </c>
      <c r="E15" s="482" t="e">
        <f t="shared" ref="E15:H15" ca="1" si="6">E13-E14</f>
        <v>#NAME?</v>
      </c>
      <c r="F15" s="482" t="e">
        <f t="shared" ca="1" si="6"/>
        <v>#NAME?</v>
      </c>
      <c r="G15" s="482" t="e">
        <f t="shared" ca="1" si="6"/>
        <v>#NAME?</v>
      </c>
      <c r="H15" s="482" t="e">
        <f t="shared" ca="1" si="6"/>
        <v>#NAME?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609">
        <v>-2.9118999489583075E-2</v>
      </c>
      <c r="T15" s="609" t="e">
        <f t="shared" ref="T15:U15" ca="1" si="7">T13-T14</f>
        <v>#NAME?</v>
      </c>
      <c r="U15" s="576" t="e">
        <f t="shared" ca="1" si="7"/>
        <v>#NAME?</v>
      </c>
      <c r="V15" s="576" t="e">
        <f ca="1">V13-V14</f>
        <v>#NAME?</v>
      </c>
      <c r="W15" s="482" t="e">
        <f ca="1">W13-W14</f>
        <v>#NAME?</v>
      </c>
      <c r="X15" s="482" t="e">
        <f t="shared" ref="X15:AG15" ca="1" si="8">X13-X14</f>
        <v>#NAME?</v>
      </c>
      <c r="Y15" s="482" t="e">
        <f t="shared" ca="1" si="8"/>
        <v>#NAME?</v>
      </c>
      <c r="Z15" s="482" t="e">
        <f t="shared" ca="1" si="8"/>
        <v>#NAME?</v>
      </c>
      <c r="AA15" s="482" t="e">
        <f t="shared" ca="1" si="8"/>
        <v>#NAME?</v>
      </c>
      <c r="AB15" s="482" t="e">
        <f t="shared" ca="1" si="8"/>
        <v>#NAME?</v>
      </c>
      <c r="AC15" s="482" t="e">
        <f t="shared" ca="1" si="8"/>
        <v>#NAME?</v>
      </c>
      <c r="AD15" s="482" t="e">
        <f t="shared" ca="1" si="8"/>
        <v>#NAME?</v>
      </c>
      <c r="AE15" s="482" t="e">
        <f t="shared" ca="1" si="8"/>
        <v>#NAME?</v>
      </c>
      <c r="AF15" s="482" t="e">
        <f t="shared" ca="1" si="8"/>
        <v>#NAME?</v>
      </c>
      <c r="AG15" s="482" t="e">
        <f t="shared" ca="1" si="8"/>
        <v>#NAME?</v>
      </c>
      <c r="AI15" s="624"/>
      <c r="AJ15" s="576"/>
      <c r="AK15" s="576"/>
      <c r="AL15" s="576"/>
      <c r="AM15" s="576"/>
      <c r="AN15" s="576"/>
      <c r="AO15" s="576"/>
      <c r="AP15" s="576"/>
      <c r="AQ15" s="576"/>
      <c r="AR15" s="576"/>
      <c r="AS15" s="633">
        <v>191010</v>
      </c>
      <c r="AT15" s="638"/>
      <c r="AU15" s="577">
        <v>469.4</v>
      </c>
      <c r="AV15" s="577"/>
      <c r="AW15" s="576"/>
      <c r="AX15" s="576">
        <v>411.13</v>
      </c>
      <c r="AY15" s="588"/>
      <c r="AZ15" s="659">
        <v>58.27</v>
      </c>
      <c r="BA15" s="577"/>
    </row>
    <row r="16" spans="1:53">
      <c r="A16" s="483" t="s">
        <v>271</v>
      </c>
      <c r="V16" s="482" t="s">
        <v>330</v>
      </c>
      <c r="AI16" s="619"/>
      <c r="AJ16" s="576"/>
      <c r="AK16" s="576"/>
      <c r="AL16" s="576"/>
      <c r="AM16" s="576"/>
      <c r="AN16" s="576"/>
      <c r="AO16" s="576"/>
      <c r="AP16" s="576"/>
      <c r="AQ16" s="576"/>
      <c r="AS16" s="632" t="s">
        <v>343</v>
      </c>
      <c r="AT16" s="646"/>
      <c r="AU16" s="574"/>
      <c r="AV16" s="573"/>
      <c r="AW16" s="637"/>
      <c r="AX16" s="574"/>
      <c r="AY16" s="573"/>
      <c r="AZ16" s="637"/>
      <c r="BA16" s="574"/>
    </row>
    <row r="17" spans="1:53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I17" s="624"/>
      <c r="AJ17" s="576"/>
      <c r="AK17" s="576"/>
      <c r="AL17" s="576"/>
      <c r="AM17" s="576"/>
      <c r="AN17" s="576"/>
      <c r="AO17" s="576"/>
      <c r="AP17" s="576"/>
      <c r="AQ17" s="576"/>
      <c r="AS17" s="633">
        <v>431600</v>
      </c>
      <c r="AT17" s="638">
        <v>641.30999999999995</v>
      </c>
      <c r="AU17" s="577"/>
      <c r="AV17" s="576"/>
      <c r="AW17" s="625">
        <v>582.99</v>
      </c>
      <c r="AX17" s="577"/>
      <c r="AY17" s="576"/>
      <c r="AZ17" s="625"/>
      <c r="BA17" s="650">
        <v>58.32</v>
      </c>
    </row>
    <row r="18" spans="1:53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/>
      <c r="U18" s="484">
        <v>201412</v>
      </c>
      <c r="V18" s="484">
        <v>201501</v>
      </c>
      <c r="W18" s="484">
        <f>V18+1</f>
        <v>201502</v>
      </c>
      <c r="X18" s="484">
        <f t="shared" ref="X18:AG18" si="9">W18+1</f>
        <v>201503</v>
      </c>
      <c r="Y18" s="484">
        <f t="shared" si="9"/>
        <v>201504</v>
      </c>
      <c r="Z18" s="484">
        <f t="shared" si="9"/>
        <v>201505</v>
      </c>
      <c r="AA18" s="484">
        <f t="shared" si="9"/>
        <v>201506</v>
      </c>
      <c r="AB18" s="484">
        <f t="shared" si="9"/>
        <v>201507</v>
      </c>
      <c r="AC18" s="484">
        <f t="shared" si="9"/>
        <v>201508</v>
      </c>
      <c r="AD18" s="484">
        <f t="shared" si="9"/>
        <v>201509</v>
      </c>
      <c r="AE18" s="484">
        <f t="shared" si="9"/>
        <v>201510</v>
      </c>
      <c r="AF18" s="484">
        <f t="shared" si="9"/>
        <v>201511</v>
      </c>
      <c r="AG18" s="484">
        <f t="shared" si="9"/>
        <v>201512</v>
      </c>
      <c r="AI18" s="624"/>
      <c r="AJ18" s="484"/>
      <c r="AK18" s="576"/>
      <c r="AL18" s="576"/>
      <c r="AM18" s="576"/>
      <c r="AN18" s="576"/>
      <c r="AO18" s="576"/>
      <c r="AP18" s="576"/>
      <c r="AQ18" s="576"/>
      <c r="AS18" s="634">
        <v>191010</v>
      </c>
      <c r="AT18" s="639"/>
      <c r="AU18" s="582">
        <v>641.30999999999995</v>
      </c>
      <c r="AV18" s="581"/>
      <c r="AW18" s="642"/>
      <c r="AX18" s="582">
        <v>582.99</v>
      </c>
      <c r="AY18" s="581"/>
      <c r="AZ18" s="658">
        <v>58.62</v>
      </c>
      <c r="BA18" s="582"/>
    </row>
    <row r="19" spans="1:53">
      <c r="A19" s="483"/>
      <c r="B19" s="481" t="s">
        <v>37</v>
      </c>
      <c r="C19" s="491">
        <f>SUM(V19:AG19)</f>
        <v>39097164</v>
      </c>
      <c r="D19" s="491">
        <f>SUM(F19:Q19)</f>
        <v>56675951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/>
      <c r="U19" s="491">
        <v>8470110</v>
      </c>
      <c r="V19" s="491">
        <f>Jan!$K36</f>
        <v>8991869</v>
      </c>
      <c r="W19" s="491">
        <f>Feb!$K36</f>
        <v>5607449</v>
      </c>
      <c r="X19" s="491">
        <f>Mar!$K36</f>
        <v>5090227</v>
      </c>
      <c r="Y19" s="491">
        <f>Apr!$K36</f>
        <v>3621515</v>
      </c>
      <c r="Z19" s="491">
        <f>May!$K36</f>
        <v>1624041</v>
      </c>
      <c r="AA19" s="491">
        <f>Jun!$K36</f>
        <v>985347</v>
      </c>
      <c r="AB19" s="491">
        <f>Jul!$K36</f>
        <v>990038</v>
      </c>
      <c r="AC19" s="491">
        <f>Aug!$K36</f>
        <v>930531</v>
      </c>
      <c r="AD19" s="491">
        <f>Sep!$K36</f>
        <v>1531464</v>
      </c>
      <c r="AE19" s="491">
        <f>Oct!$K36</f>
        <v>2476612</v>
      </c>
      <c r="AF19" s="491">
        <f>Nov!$K36</f>
        <v>7248071</v>
      </c>
      <c r="AG19" s="491">
        <f>Dec!$K36</f>
        <v>0</v>
      </c>
      <c r="AH19" s="491"/>
      <c r="AI19" s="624"/>
      <c r="AJ19" s="488"/>
      <c r="AK19" s="576"/>
      <c r="AL19" s="576"/>
      <c r="AM19" s="576"/>
      <c r="AN19" s="576"/>
      <c r="AO19" s="576"/>
      <c r="AP19" s="576"/>
      <c r="AQ19" s="576"/>
      <c r="AS19" s="641" t="s">
        <v>344</v>
      </c>
      <c r="AT19" s="638"/>
      <c r="AU19" s="647"/>
      <c r="AV19" s="576"/>
      <c r="AW19" s="625"/>
      <c r="AX19" s="577"/>
      <c r="AY19" s="576"/>
      <c r="AZ19" s="625"/>
      <c r="BA19" s="577"/>
    </row>
    <row r="20" spans="1:53">
      <c r="A20" s="483"/>
      <c r="B20" s="481" t="s">
        <v>38</v>
      </c>
      <c r="C20" s="491">
        <f t="shared" ref="C20:C24" si="10">SUM(V20:AG20)</f>
        <v>18037646</v>
      </c>
      <c r="D20" s="491">
        <f>SUM(F20:Q20)</f>
        <v>22466066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/>
      <c r="U20" s="491">
        <v>2595480</v>
      </c>
      <c r="V20" s="491">
        <f>Jan!$K37</f>
        <v>2818068</v>
      </c>
      <c r="W20" s="491">
        <f>Feb!$K37</f>
        <v>2333245</v>
      </c>
      <c r="X20" s="491">
        <f>Mar!$K37</f>
        <v>1927746</v>
      </c>
      <c r="Y20" s="491">
        <f>Apr!$K37</f>
        <v>1633221</v>
      </c>
      <c r="Z20" s="491">
        <f>May!$K37</f>
        <v>1075904</v>
      </c>
      <c r="AA20" s="491">
        <f>Jun!$K37</f>
        <v>1089173</v>
      </c>
      <c r="AB20" s="491">
        <f>Jul!$K37</f>
        <v>964252</v>
      </c>
      <c r="AC20" s="491">
        <f>Aug!$K37</f>
        <v>1322423</v>
      </c>
      <c r="AD20" s="491">
        <f>Sep!$K37</f>
        <v>1101192</v>
      </c>
      <c r="AE20" s="491">
        <f>Oct!$K37</f>
        <v>1392647</v>
      </c>
      <c r="AF20" s="491">
        <f>Nov!$K37</f>
        <v>2379775</v>
      </c>
      <c r="AG20" s="491">
        <f>Dec!$K37</f>
        <v>0</v>
      </c>
      <c r="AH20" s="491"/>
      <c r="AI20" s="624"/>
      <c r="AJ20" s="576"/>
      <c r="AK20" s="576"/>
      <c r="AL20" s="576"/>
      <c r="AM20" s="576"/>
      <c r="AN20" s="576"/>
      <c r="AO20" s="576"/>
      <c r="AP20" s="576"/>
      <c r="AQ20" s="576"/>
      <c r="AS20" s="630">
        <v>419600</v>
      </c>
      <c r="AT20" s="638"/>
      <c r="AU20" s="577">
        <v>58.18</v>
      </c>
      <c r="AV20" s="576"/>
      <c r="AW20" s="625"/>
      <c r="AX20" s="577"/>
      <c r="AY20" s="576"/>
      <c r="AZ20" s="653">
        <v>58.18</v>
      </c>
      <c r="BA20" s="577"/>
    </row>
    <row r="21" spans="1:53" hidden="1">
      <c r="A21" s="483"/>
      <c r="B21" s="481" t="s">
        <v>39</v>
      </c>
      <c r="C21" s="491">
        <f t="shared" si="10"/>
        <v>0</v>
      </c>
      <c r="D21" s="491">
        <f>SUM(G21:R21)</f>
        <v>0</v>
      </c>
      <c r="E21" s="491"/>
      <c r="F21" s="491"/>
      <c r="G21" s="491"/>
      <c r="H21" s="491"/>
      <c r="AI21" s="528"/>
      <c r="AJ21" s="576"/>
      <c r="AK21" s="576"/>
      <c r="AL21" s="576"/>
      <c r="AM21" s="576"/>
      <c r="AN21" s="576"/>
      <c r="AO21" s="576"/>
      <c r="AP21" s="576"/>
      <c r="AQ21" s="576"/>
      <c r="AS21" s="633"/>
      <c r="AT21" s="638"/>
      <c r="AU21" s="647"/>
      <c r="AV21" s="576"/>
      <c r="AW21" s="625"/>
      <c r="AX21" s="577"/>
      <c r="AY21" s="576"/>
      <c r="AZ21" s="625"/>
      <c r="BA21" s="577"/>
    </row>
    <row r="22" spans="1:53" hidden="1">
      <c r="A22" s="483"/>
      <c r="B22" s="481" t="s">
        <v>40</v>
      </c>
      <c r="C22" s="491">
        <f t="shared" si="10"/>
        <v>0</v>
      </c>
      <c r="D22" s="491">
        <f>SUM(G22:R22)</f>
        <v>0</v>
      </c>
      <c r="E22" s="491"/>
      <c r="F22" s="491"/>
      <c r="G22" s="491"/>
      <c r="H22" s="491"/>
      <c r="AI22" s="576"/>
      <c r="AJ22" s="576"/>
      <c r="AK22" s="576"/>
      <c r="AL22" s="576"/>
      <c r="AM22" s="576"/>
      <c r="AN22" s="576"/>
      <c r="AO22" s="576"/>
      <c r="AP22" s="576"/>
      <c r="AQ22" s="576"/>
      <c r="AS22" s="633"/>
      <c r="AT22" s="638"/>
      <c r="AU22" s="647"/>
      <c r="AV22" s="576"/>
      <c r="AW22" s="625"/>
      <c r="AX22" s="577"/>
      <c r="AY22" s="576"/>
      <c r="AZ22" s="625"/>
      <c r="BA22" s="577"/>
    </row>
    <row r="23" spans="1:53" hidden="1">
      <c r="A23" s="483"/>
      <c r="B23" s="481" t="s">
        <v>41</v>
      </c>
      <c r="C23" s="491">
        <f t="shared" si="10"/>
        <v>0</v>
      </c>
      <c r="D23" s="491">
        <f>SUM(G23:R23)</f>
        <v>0</v>
      </c>
      <c r="E23" s="491"/>
      <c r="F23" s="491"/>
      <c r="G23" s="491"/>
      <c r="H23" s="491"/>
      <c r="AI23" s="576"/>
      <c r="AJ23" s="617"/>
      <c r="AK23" s="576"/>
      <c r="AL23" s="576"/>
      <c r="AM23" s="576"/>
      <c r="AN23" s="576"/>
      <c r="AO23" s="576"/>
      <c r="AP23" s="576"/>
      <c r="AQ23" s="576"/>
      <c r="AS23" s="630"/>
      <c r="AT23" s="645"/>
      <c r="AU23" s="577"/>
      <c r="AV23" s="623"/>
      <c r="AW23" s="626"/>
      <c r="AX23" s="643"/>
      <c r="AY23" s="576"/>
      <c r="AZ23" s="625"/>
      <c r="BA23" s="577"/>
    </row>
    <row r="24" spans="1:53">
      <c r="A24" s="483"/>
      <c r="B24" s="481" t="s">
        <v>42</v>
      </c>
      <c r="C24" s="491">
        <f t="shared" si="10"/>
        <v>0</v>
      </c>
      <c r="D24" s="491">
        <f>SUM(F24:Q24)</f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/>
      <c r="U24" s="491">
        <v>0</v>
      </c>
      <c r="V24" s="491">
        <f>Jan!$K41</f>
        <v>0</v>
      </c>
      <c r="W24" s="491">
        <f>Feb!$K41</f>
        <v>0</v>
      </c>
      <c r="X24" s="491">
        <f>Mar!$K41</f>
        <v>0</v>
      </c>
      <c r="Y24" s="491">
        <f>Apr!$K41</f>
        <v>0</v>
      </c>
      <c r="Z24" s="491">
        <f>May!$K41</f>
        <v>0</v>
      </c>
      <c r="AA24" s="491">
        <f>Jun!$K41</f>
        <v>0</v>
      </c>
      <c r="AB24" s="491">
        <f>Jul!$K41</f>
        <v>0</v>
      </c>
      <c r="AC24" s="491">
        <f>Aug!$K41</f>
        <v>0</v>
      </c>
      <c r="AD24" s="491">
        <f>Sep!$K41</f>
        <v>0</v>
      </c>
      <c r="AE24" s="491">
        <f>Oct!$K41</f>
        <v>0</v>
      </c>
      <c r="AF24" s="491">
        <f>Nov!$K41</f>
        <v>0</v>
      </c>
      <c r="AG24" s="491">
        <f>Dec!$K41</f>
        <v>0</v>
      </c>
      <c r="AH24" s="491"/>
      <c r="AI24" s="624"/>
      <c r="AJ24" s="576"/>
      <c r="AK24" s="576"/>
      <c r="AL24" s="576"/>
      <c r="AM24" s="576"/>
      <c r="AN24" s="576"/>
      <c r="AO24" s="576"/>
      <c r="AP24" s="576"/>
      <c r="AQ24" s="576"/>
      <c r="AS24" s="633">
        <v>191010</v>
      </c>
      <c r="AT24" s="638">
        <v>58.18</v>
      </c>
      <c r="AU24" s="647"/>
      <c r="AV24" s="576"/>
      <c r="AW24" s="625"/>
      <c r="AX24" s="577"/>
      <c r="AY24" s="576"/>
      <c r="AZ24" s="625"/>
      <c r="BA24" s="657">
        <v>58.18</v>
      </c>
    </row>
    <row r="25" spans="1:53" hidden="1">
      <c r="A25" s="483"/>
      <c r="B25" s="481" t="s">
        <v>43</v>
      </c>
      <c r="C25" s="491">
        <f t="shared" ref="C25:C26" si="11">SUM(I25:U25)</f>
        <v>0</v>
      </c>
      <c r="D25" s="491">
        <f>SUM(G25:R25)</f>
        <v>0</v>
      </c>
      <c r="E25" s="491"/>
      <c r="F25" s="491"/>
      <c r="G25" s="491"/>
      <c r="H25" s="491"/>
      <c r="AI25" s="576"/>
      <c r="AJ25" s="576"/>
      <c r="AK25" s="576"/>
      <c r="AL25" s="576"/>
      <c r="AM25" s="576"/>
      <c r="AN25" s="576"/>
      <c r="AO25" s="576"/>
      <c r="AP25" s="576"/>
      <c r="AQ25" s="576"/>
      <c r="AS25" s="644"/>
      <c r="AT25" s="639"/>
      <c r="AU25" s="648"/>
      <c r="AV25" s="581"/>
      <c r="AW25" s="642"/>
      <c r="AX25" s="582"/>
      <c r="AY25" s="581"/>
      <c r="AZ25" s="642"/>
      <c r="BA25" s="582"/>
    </row>
    <row r="26" spans="1:53" hidden="1">
      <c r="A26" s="483"/>
      <c r="B26" s="481" t="s">
        <v>74</v>
      </c>
      <c r="C26" s="491">
        <f t="shared" si="11"/>
        <v>0</v>
      </c>
      <c r="D26" s="491">
        <f>SUM(G26:R26)</f>
        <v>0</v>
      </c>
      <c r="E26" s="491"/>
      <c r="F26" s="491"/>
      <c r="G26" s="491"/>
      <c r="H26" s="491"/>
      <c r="AI26" s="576"/>
      <c r="AJ26" s="576"/>
      <c r="AK26" s="576"/>
      <c r="AL26" s="576"/>
      <c r="AM26" s="576"/>
      <c r="AN26" s="576"/>
      <c r="AO26" s="576"/>
      <c r="AP26" s="576"/>
      <c r="AQ26" s="576"/>
      <c r="AS26" s="630"/>
      <c r="AT26" s="625"/>
      <c r="AU26" s="647"/>
      <c r="AV26" s="576"/>
      <c r="AW26" s="625"/>
      <c r="AX26" s="577"/>
      <c r="AY26" s="576"/>
      <c r="AZ26" s="625"/>
      <c r="BA26" s="577"/>
    </row>
    <row r="27" spans="1:53" ht="16" thickBot="1">
      <c r="A27" s="483"/>
      <c r="B27" s="481" t="s">
        <v>21</v>
      </c>
      <c r="C27" s="542">
        <f>SUM(V27:AG27)</f>
        <v>57134810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2">SUM(G19:G26)</f>
        <v>9508099</v>
      </c>
      <c r="H27" s="542">
        <f t="shared" si="12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/>
      <c r="U27" s="542">
        <v>11065590</v>
      </c>
      <c r="V27" s="542">
        <f t="shared" ref="V27:AG27" si="13">SUM(V19:V26)</f>
        <v>11809937</v>
      </c>
      <c r="W27" s="542">
        <f t="shared" si="13"/>
        <v>7940694</v>
      </c>
      <c r="X27" s="542">
        <f t="shared" si="13"/>
        <v>7017973</v>
      </c>
      <c r="Y27" s="542">
        <f t="shared" si="13"/>
        <v>5254736</v>
      </c>
      <c r="Z27" s="542">
        <f t="shared" si="13"/>
        <v>2699945</v>
      </c>
      <c r="AA27" s="542">
        <f t="shared" si="13"/>
        <v>2074520</v>
      </c>
      <c r="AB27" s="542">
        <f t="shared" si="13"/>
        <v>1954290</v>
      </c>
      <c r="AC27" s="542">
        <f t="shared" si="13"/>
        <v>2252954</v>
      </c>
      <c r="AD27" s="542">
        <f t="shared" si="13"/>
        <v>2632656</v>
      </c>
      <c r="AE27" s="542">
        <f t="shared" si="13"/>
        <v>3869259</v>
      </c>
      <c r="AF27" s="542">
        <f t="shared" si="13"/>
        <v>9627846</v>
      </c>
      <c r="AG27" s="542">
        <f t="shared" si="13"/>
        <v>0</v>
      </c>
      <c r="AI27" s="624"/>
      <c r="AJ27" s="576"/>
      <c r="AK27" s="576"/>
      <c r="AL27" s="576"/>
      <c r="AM27" s="576"/>
      <c r="AN27" s="576"/>
      <c r="AO27" s="576"/>
      <c r="AP27" s="576"/>
      <c r="AQ27" s="576"/>
      <c r="AS27" s="631"/>
      <c r="AT27" s="639"/>
      <c r="AU27" s="582"/>
      <c r="AV27" s="581"/>
      <c r="AW27" s="642"/>
      <c r="AX27" s="582"/>
      <c r="AY27" s="581"/>
      <c r="AZ27" s="642"/>
      <c r="BA27" s="582"/>
    </row>
    <row r="28" spans="1:53" ht="16" thickTop="1">
      <c r="A28" s="483"/>
      <c r="B28" s="481" t="s">
        <v>269</v>
      </c>
      <c r="C28" s="491">
        <f>SUM(V28:AG28)</f>
        <v>26768604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/>
      <c r="U28" s="543">
        <v>11065590</v>
      </c>
      <c r="V28" s="491">
        <v>11809937</v>
      </c>
      <c r="W28" s="491">
        <v>7940694</v>
      </c>
      <c r="X28" s="491">
        <v>7017973</v>
      </c>
      <c r="Y28" s="491"/>
      <c r="Z28" s="491"/>
      <c r="AA28" s="491"/>
      <c r="AB28" s="543"/>
      <c r="AC28" s="543"/>
      <c r="AD28" s="543"/>
      <c r="AE28" s="543"/>
      <c r="AF28" s="543"/>
      <c r="AG28" s="543"/>
      <c r="AI28" s="619"/>
      <c r="AJ28" s="649"/>
      <c r="AK28" s="576"/>
      <c r="AL28" s="576"/>
      <c r="AM28" s="576"/>
      <c r="AN28" s="576"/>
      <c r="AO28" s="576"/>
      <c r="AP28" s="576"/>
      <c r="AQ28" s="576"/>
    </row>
    <row r="29" spans="1:53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I29" s="624"/>
      <c r="AJ29" s="576"/>
      <c r="AK29" s="576"/>
      <c r="AL29" s="576"/>
      <c r="AM29" s="576"/>
      <c r="AN29" s="576"/>
      <c r="AO29" s="576"/>
      <c r="AP29" s="576"/>
      <c r="AQ29" s="576"/>
      <c r="AX29" s="624">
        <v>191010</v>
      </c>
      <c r="AZ29" s="482">
        <f>AZ8+AZ11+AZ15+AZ18+AZ4</f>
        <v>253.37</v>
      </c>
      <c r="BA29" s="482">
        <f>(BA24+BA13)</f>
        <v>87.289999999999992</v>
      </c>
    </row>
    <row r="30" spans="1:53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/>
      <c r="U30" s="484">
        <v>201412</v>
      </c>
      <c r="V30" s="484">
        <v>201501</v>
      </c>
      <c r="W30" s="484">
        <f>V30+1</f>
        <v>201502</v>
      </c>
      <c r="X30" s="484">
        <f t="shared" ref="X30:AG30" si="14">W30+1</f>
        <v>201503</v>
      </c>
      <c r="Y30" s="484">
        <f t="shared" si="14"/>
        <v>201504</v>
      </c>
      <c r="Z30" s="484">
        <f t="shared" si="14"/>
        <v>201505</v>
      </c>
      <c r="AA30" s="484">
        <f t="shared" si="14"/>
        <v>201506</v>
      </c>
      <c r="AB30" s="484">
        <f t="shared" si="14"/>
        <v>201507</v>
      </c>
      <c r="AC30" s="484">
        <f t="shared" si="14"/>
        <v>201508</v>
      </c>
      <c r="AD30" s="484">
        <f t="shared" si="14"/>
        <v>201509</v>
      </c>
      <c r="AE30" s="484">
        <f t="shared" si="14"/>
        <v>201510</v>
      </c>
      <c r="AF30" s="484">
        <f t="shared" si="14"/>
        <v>201511</v>
      </c>
      <c r="AG30" s="484">
        <f t="shared" si="14"/>
        <v>201512</v>
      </c>
      <c r="AI30" s="624"/>
      <c r="AJ30" s="576"/>
      <c r="AK30" s="576"/>
      <c r="AL30" s="576"/>
      <c r="AM30" s="576"/>
      <c r="AN30" s="576"/>
      <c r="AO30" s="576"/>
      <c r="AP30" s="576"/>
      <c r="AQ30" s="576"/>
      <c r="AX30" s="576"/>
    </row>
    <row r="31" spans="1:53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/>
      <c r="U31" s="492" t="s">
        <v>270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>
        <v>3.041E-2</v>
      </c>
      <c r="AF31" s="492" t="s">
        <v>270</v>
      </c>
      <c r="AG31" s="492" t="s">
        <v>270</v>
      </c>
      <c r="AI31" s="624"/>
      <c r="AJ31" s="603"/>
      <c r="AK31" s="576"/>
      <c r="AL31" s="576"/>
      <c r="AM31" s="576"/>
      <c r="AN31" s="576"/>
      <c r="AO31" s="576"/>
      <c r="AP31" s="576"/>
      <c r="AQ31" s="576"/>
      <c r="AZ31" s="482">
        <f>AZ29-BA29</f>
        <v>166.08</v>
      </c>
    </row>
    <row r="32" spans="1:53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/>
      <c r="U32" s="492" t="s">
        <v>270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>
        <v>3.041E-2</v>
      </c>
      <c r="AF32" s="492" t="s">
        <v>270</v>
      </c>
      <c r="AG32" s="492" t="s">
        <v>270</v>
      </c>
      <c r="AI32" s="624"/>
      <c r="AJ32" s="603"/>
      <c r="AK32" s="576"/>
      <c r="AL32" s="576"/>
      <c r="AM32" s="576"/>
      <c r="AN32" s="576"/>
      <c r="AO32" s="576"/>
      <c r="AP32" s="576"/>
      <c r="AQ32" s="576"/>
      <c r="AZ32" s="482" t="e">
        <f ca="1">AZ31-X15</f>
        <v>#NAME?</v>
      </c>
    </row>
    <row r="33" spans="1:53" hidden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/>
      <c r="U33" s="492" t="s">
        <v>270</v>
      </c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 t="s">
        <v>270</v>
      </c>
      <c r="AG33" s="492" t="s">
        <v>270</v>
      </c>
      <c r="AI33" s="528"/>
      <c r="AJ33" s="627"/>
      <c r="AK33" s="623"/>
      <c r="AL33" s="623"/>
      <c r="AM33" s="623"/>
      <c r="AN33" s="623"/>
      <c r="AO33" s="576"/>
      <c r="AP33" s="576"/>
      <c r="AQ33" s="576"/>
    </row>
    <row r="34" spans="1:53" hidden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/>
      <c r="U34" s="492" t="s">
        <v>270</v>
      </c>
      <c r="V34" s="492"/>
      <c r="W34" s="492"/>
      <c r="X34" s="492"/>
      <c r="Y34" s="492"/>
      <c r="Z34" s="492"/>
      <c r="AA34" s="492"/>
      <c r="AB34" s="492"/>
      <c r="AC34" s="492"/>
      <c r="AD34" s="492"/>
      <c r="AE34" s="492"/>
      <c r="AF34" s="492" t="s">
        <v>270</v>
      </c>
      <c r="AG34" s="492" t="s">
        <v>270</v>
      </c>
      <c r="AI34" s="528"/>
      <c r="AJ34" s="603"/>
      <c r="AK34" s="576"/>
      <c r="AL34" s="576"/>
      <c r="AM34" s="576"/>
      <c r="AN34" s="576"/>
      <c r="AO34" s="576"/>
      <c r="AP34" s="576"/>
      <c r="AQ34" s="576"/>
    </row>
    <row r="35" spans="1:53" hidden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/>
      <c r="U35" s="492" t="s">
        <v>270</v>
      </c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 t="s">
        <v>270</v>
      </c>
      <c r="AG35" s="492" t="s">
        <v>270</v>
      </c>
      <c r="AI35" s="576"/>
      <c r="AJ35" s="603"/>
      <c r="AK35" s="576"/>
      <c r="AL35" s="576"/>
      <c r="AM35" s="576"/>
      <c r="AN35" s="576"/>
      <c r="AO35" s="576"/>
      <c r="AP35" s="576"/>
      <c r="AQ35" s="576"/>
      <c r="AZ35" s="482" t="e">
        <f ca="1">X15-AZ31</f>
        <v>#NAME?</v>
      </c>
    </row>
    <row r="36" spans="1:53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/>
      <c r="U36" s="492" t="s">
        <v>270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>
        <v>9.1900000000000003E-3</v>
      </c>
      <c r="AF36" s="492" t="s">
        <v>270</v>
      </c>
      <c r="AG36" s="492" t="s">
        <v>270</v>
      </c>
      <c r="AI36" s="624"/>
      <c r="AJ36" s="603"/>
      <c r="AK36" s="576"/>
      <c r="AL36" s="576"/>
      <c r="AM36" s="576"/>
      <c r="AN36" s="576"/>
      <c r="AO36" s="576"/>
      <c r="AP36" s="576"/>
      <c r="AQ36" s="576"/>
    </row>
    <row r="37" spans="1:53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I37" s="576"/>
      <c r="AJ37" s="603"/>
      <c r="AK37" s="576"/>
      <c r="AL37" s="576"/>
      <c r="AM37" s="576"/>
      <c r="AN37" s="576"/>
      <c r="AO37" s="576"/>
      <c r="AP37" s="576"/>
      <c r="AQ37" s="576"/>
      <c r="AS37" s="483"/>
      <c r="AT37" s="483"/>
      <c r="AU37" s="483"/>
      <c r="AV37" s="483"/>
      <c r="AW37" s="483"/>
      <c r="AX37" s="483"/>
      <c r="AY37" s="483"/>
      <c r="AZ37" s="483"/>
      <c r="BA37" s="483"/>
    </row>
    <row r="38" spans="1:53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I38" s="576"/>
      <c r="AJ38" s="603"/>
      <c r="AK38" s="576"/>
      <c r="AL38" s="576"/>
      <c r="AM38" s="576"/>
      <c r="AN38" s="576"/>
      <c r="AO38" s="576"/>
      <c r="AP38" s="576"/>
      <c r="AQ38" s="576"/>
      <c r="AS38" s="483"/>
      <c r="AT38" s="483"/>
      <c r="AU38" s="483"/>
      <c r="AV38" s="483"/>
      <c r="AW38" s="483"/>
      <c r="AX38" s="483"/>
      <c r="AY38" s="483"/>
      <c r="AZ38" s="483"/>
      <c r="BA38" s="483"/>
    </row>
    <row r="39" spans="1:53" ht="16" thickBot="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610" t="s">
        <v>337</v>
      </c>
      <c r="T39" s="610" t="s">
        <v>338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I39" s="624"/>
      <c r="AJ39" s="603"/>
      <c r="AK39" s="576"/>
      <c r="AL39" s="576"/>
      <c r="AM39" s="672">
        <v>805120</v>
      </c>
      <c r="AN39" s="576"/>
      <c r="AO39" s="576"/>
      <c r="AP39" s="576"/>
      <c r="AQ39" s="576"/>
      <c r="AS39" s="636"/>
      <c r="AT39" s="711" t="s">
        <v>341</v>
      </c>
      <c r="AU39" s="712"/>
      <c r="AW39" s="713" t="s">
        <v>346</v>
      </c>
      <c r="AX39" s="713"/>
      <c r="AZ39" s="711" t="s">
        <v>347</v>
      </c>
      <c r="BA39" s="711"/>
    </row>
    <row r="40" spans="1:53" s="483" customForma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604">
        <v>201411</v>
      </c>
      <c r="T40" s="612">
        <v>201411</v>
      </c>
      <c r="U40" s="484">
        <v>201412</v>
      </c>
      <c r="V40" s="484">
        <v>201501</v>
      </c>
      <c r="W40" s="484">
        <f>V40+1</f>
        <v>201502</v>
      </c>
      <c r="X40" s="484">
        <f t="shared" ref="X40:AG40" si="15">W40+1</f>
        <v>201503</v>
      </c>
      <c r="Y40" s="484">
        <f t="shared" si="15"/>
        <v>201504</v>
      </c>
      <c r="Z40" s="484">
        <f t="shared" si="15"/>
        <v>201505</v>
      </c>
      <c r="AA40" s="484">
        <f t="shared" si="15"/>
        <v>201506</v>
      </c>
      <c r="AB40" s="484">
        <f t="shared" si="15"/>
        <v>201507</v>
      </c>
      <c r="AC40" s="484">
        <f t="shared" si="15"/>
        <v>201508</v>
      </c>
      <c r="AD40" s="484">
        <f t="shared" si="15"/>
        <v>201509</v>
      </c>
      <c r="AE40" s="484">
        <f t="shared" si="15"/>
        <v>201510</v>
      </c>
      <c r="AF40" s="484">
        <f t="shared" si="15"/>
        <v>201511</v>
      </c>
      <c r="AG40" s="484">
        <f t="shared" si="15"/>
        <v>201512</v>
      </c>
      <c r="AI40" s="624"/>
      <c r="AJ40" s="576"/>
      <c r="AK40" s="576"/>
      <c r="AL40" s="576"/>
      <c r="AM40" s="576"/>
      <c r="AN40" s="576"/>
      <c r="AO40" s="576"/>
      <c r="AP40" s="576"/>
      <c r="AQ40" s="576"/>
      <c r="AR40" s="482"/>
      <c r="AS40" s="628" t="s">
        <v>340</v>
      </c>
      <c r="AT40" s="714"/>
      <c r="AU40" s="715"/>
      <c r="AV40" s="635"/>
      <c r="AW40" s="573"/>
      <c r="AX40" s="573"/>
      <c r="AY40" s="584"/>
      <c r="AZ40" s="573"/>
      <c r="BA40" s="574"/>
    </row>
    <row r="41" spans="1:53" s="483" customForma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605">
        <v>0.01</v>
      </c>
      <c r="T41" s="613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I41" s="528"/>
      <c r="AJ41" s="603"/>
      <c r="AK41" s="576"/>
      <c r="AL41" s="576"/>
      <c r="AM41" s="576"/>
      <c r="AN41" s="576"/>
      <c r="AO41" s="576"/>
      <c r="AP41" s="576"/>
      <c r="AQ41" s="576"/>
      <c r="AR41" s="482"/>
      <c r="AS41" s="630">
        <v>431600</v>
      </c>
      <c r="AT41" s="625">
        <v>1926.45</v>
      </c>
      <c r="AU41" s="577"/>
      <c r="AV41" s="588"/>
      <c r="AW41" s="576">
        <v>1877.29</v>
      </c>
      <c r="AX41" s="576"/>
      <c r="AY41" s="588"/>
      <c r="AZ41" s="576"/>
      <c r="BA41" s="650">
        <v>49.16</v>
      </c>
    </row>
    <row r="42" spans="1:53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606">
        <v>112675.82279763953</v>
      </c>
      <c r="T42" s="614">
        <v>112675.82279763953</v>
      </c>
      <c r="U42" s="482">
        <f>T47</f>
        <v>-2068726.8406750287</v>
      </c>
      <c r="V42" s="482">
        <f>U47</f>
        <v>-1737320.8633880913</v>
      </c>
      <c r="W42" s="482">
        <f>V47</f>
        <v>-1379478.8048608438</v>
      </c>
      <c r="X42" s="482">
        <f t="shared" ref="X42:AF42" si="16">W47</f>
        <v>-1139051.2507813361</v>
      </c>
      <c r="Y42" s="482">
        <f t="shared" si="16"/>
        <v>-926494.97766076634</v>
      </c>
      <c r="Z42" s="482">
        <f t="shared" si="16"/>
        <v>-767403.95316475024</v>
      </c>
      <c r="AA42" s="482">
        <f t="shared" si="16"/>
        <v>-685903.9184559501</v>
      </c>
      <c r="AB42" s="482">
        <f t="shared" si="16"/>
        <v>-623363.06595749676</v>
      </c>
      <c r="AC42" s="482">
        <f t="shared" si="16"/>
        <v>-564427.81379625306</v>
      </c>
      <c r="AD42" s="482">
        <f t="shared" si="16"/>
        <v>-496357.29236310825</v>
      </c>
      <c r="AE42" s="482">
        <f t="shared" si="16"/>
        <v>-416678.49653467751</v>
      </c>
      <c r="AF42" s="482">
        <f t="shared" si="16"/>
        <v>-299312.53568921064</v>
      </c>
      <c r="AG42" s="482">
        <f>AF47</f>
        <v>-299561.96280228498</v>
      </c>
      <c r="AI42" s="576"/>
      <c r="AJ42" s="603"/>
      <c r="AK42" s="576"/>
      <c r="AL42" s="576"/>
      <c r="AM42" s="576"/>
      <c r="AN42" s="576"/>
      <c r="AO42" s="576"/>
      <c r="AP42" s="576"/>
      <c r="AQ42" s="576"/>
      <c r="AS42" s="633">
        <v>191000</v>
      </c>
      <c r="AT42" s="576">
        <v>311656.90000000002</v>
      </c>
      <c r="AU42" s="576"/>
      <c r="AV42" s="588"/>
      <c r="AW42" s="576">
        <v>310166.92</v>
      </c>
      <c r="AX42" s="576"/>
      <c r="AY42" s="588"/>
      <c r="AZ42" s="576"/>
      <c r="BA42" s="656">
        <v>1489.98</v>
      </c>
    </row>
    <row r="43" spans="1:53" ht="16" thickBot="1">
      <c r="B43" s="481" t="s">
        <v>23</v>
      </c>
      <c r="C43" s="482">
        <f>SUM(V43:AG43)</f>
        <v>1444686.7752400001</v>
      </c>
      <c r="D43" s="491">
        <f>SUM(F43:Q43)</f>
        <v>-10808.645800000002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17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607">
        <v>313583.3579</v>
      </c>
      <c r="T43" s="611">
        <v>312044.21000000002</v>
      </c>
      <c r="U43" s="557">
        <v>332991.17</v>
      </c>
      <c r="V43" s="482">
        <f t="shared" ref="V43:AA43" si="18">SUMPRODUCT(V19:V26,V31:V38)</f>
        <v>359140.18416999996</v>
      </c>
      <c r="W43" s="482">
        <f t="shared" si="18"/>
        <v>241476.50453999999</v>
      </c>
      <c r="X43" s="482">
        <f t="shared" si="18"/>
        <v>213416.55893</v>
      </c>
      <c r="Y43" s="482">
        <f t="shared" si="18"/>
        <v>159796.52176</v>
      </c>
      <c r="Z43" s="482">
        <f t="shared" si="18"/>
        <v>82105.327449999997</v>
      </c>
      <c r="AA43" s="482">
        <f t="shared" si="18"/>
        <v>63086.153200000001</v>
      </c>
      <c r="AB43" s="482">
        <f>SUMPRODUCT(AB19:AB26,AB31:AB38)</f>
        <v>59429.958899999998</v>
      </c>
      <c r="AC43" s="482">
        <f t="shared" ref="AC43:AE43" si="19">SUMPRODUCT(AC19:AC26,AC31:AC38)</f>
        <v>68512.331139999995</v>
      </c>
      <c r="AD43" s="482">
        <f t="shared" si="19"/>
        <v>80059.068960000004</v>
      </c>
      <c r="AE43" s="482">
        <f t="shared" si="19"/>
        <v>117664.16618999999</v>
      </c>
      <c r="AF43" s="563"/>
      <c r="AG43" s="563"/>
      <c r="AI43" s="665" t="str">
        <f>AI4</f>
        <v>201504 Correcting Entry</v>
      </c>
      <c r="AJ43" s="666"/>
      <c r="AK43" s="629"/>
      <c r="AL43" s="629"/>
      <c r="AM43" s="629"/>
      <c r="AN43" s="667"/>
      <c r="AS43" s="630">
        <v>805110</v>
      </c>
      <c r="AT43" s="576"/>
      <c r="AU43" s="576">
        <v>313583.35999999999</v>
      </c>
      <c r="AV43" s="588"/>
      <c r="AW43" s="576"/>
      <c r="AX43" s="576">
        <v>312044.21000000002</v>
      </c>
      <c r="AY43" s="588"/>
      <c r="AZ43" s="674">
        <v>1539.15</v>
      </c>
      <c r="BA43" s="577"/>
    </row>
    <row r="44" spans="1:53">
      <c r="B44" s="481" t="s">
        <v>4</v>
      </c>
      <c r="C44" s="482">
        <f t="shared" ref="C44:C46" si="20">SUM(V44:AG44)</f>
        <v>-7177.5096231956404</v>
      </c>
      <c r="D44" s="491">
        <f>SUM(F44:Q44)</f>
        <v>1068.3629816064952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615">
        <f>(((S42+S45)*(S41/12))+(((S43+S46)/2)*(S41/12)))</f>
        <v>-1926.4530193769669</v>
      </c>
      <c r="T44" s="616">
        <f>(((T42+T45)*(T41/12))+(((T43+T46)/2)*(T41/12)))</f>
        <v>-1877.2934726686335</v>
      </c>
      <c r="U44" s="489">
        <f t="shared" ref="U44:AE44" si="21">((U42*(U41/12))+((U43/2)*(U41/12)))</f>
        <v>-1585.192713062524</v>
      </c>
      <c r="V44" s="489">
        <f t="shared" si="21"/>
        <v>-1298.1256427525761</v>
      </c>
      <c r="W44" s="489">
        <f t="shared" si="21"/>
        <v>-1048.9504604923698</v>
      </c>
      <c r="X44" s="489">
        <f t="shared" si="21"/>
        <v>-860.28580943028021</v>
      </c>
      <c r="Y44" s="489">
        <f t="shared" si="21"/>
        <v>-705.49726398397195</v>
      </c>
      <c r="Z44" s="489">
        <f t="shared" si="21"/>
        <v>-605.29274119979186</v>
      </c>
      <c r="AA44" s="489">
        <f t="shared" si="21"/>
        <v>-545.30070154662508</v>
      </c>
      <c r="AB44" s="489">
        <f t="shared" si="21"/>
        <v>-494.70673875624738</v>
      </c>
      <c r="AC44" s="489">
        <f t="shared" si="21"/>
        <v>-441.80970685521095</v>
      </c>
      <c r="AD44" s="489">
        <f t="shared" si="21"/>
        <v>-380.27313156925692</v>
      </c>
      <c r="AE44" s="489">
        <f t="shared" si="21"/>
        <v>-298.20534453306465</v>
      </c>
      <c r="AF44" s="560">
        <f>((AF42+AF45)*(AF41/12))+(((AF43+AF46)/2)*(AF41/12))</f>
        <v>-249.4271130743422</v>
      </c>
      <c r="AG44" s="560">
        <f t="shared" ref="AG44" si="22">((AG42*(AG41/12))+((AG43/2)*(AG41/12)))</f>
        <v>-249.63496900190415</v>
      </c>
      <c r="AI44" s="497" t="s">
        <v>308</v>
      </c>
      <c r="AJ44" s="527">
        <v>419600</v>
      </c>
      <c r="AK44" s="498" t="s">
        <v>288</v>
      </c>
      <c r="AL44" s="498" t="s">
        <v>291</v>
      </c>
      <c r="AM44" s="519">
        <v>0</v>
      </c>
      <c r="AN44" s="520">
        <f>IF(SUMIF(V40:AG40,AI43,V44:AG44)&gt;0,SUMIF(V40:AG40,AI43,V44:AG44),0)</f>
        <v>0</v>
      </c>
      <c r="AS44" s="628" t="s">
        <v>342</v>
      </c>
      <c r="AT44" s="637"/>
      <c r="AU44" s="573"/>
      <c r="AV44" s="584"/>
      <c r="AW44" s="573"/>
      <c r="AX44" s="573"/>
      <c r="AY44" s="584"/>
      <c r="AZ44" s="573"/>
      <c r="BA44" s="574"/>
    </row>
    <row r="45" spans="1:53">
      <c r="B45" s="481" t="s">
        <v>259</v>
      </c>
      <c r="C45" s="482">
        <f t="shared" si="20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607">
        <v>-2551330.61</v>
      </c>
      <c r="T45" s="611">
        <v>-2551330.61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482">
        <v>0</v>
      </c>
      <c r="AF45" s="563">
        <f>-AF9-AF10-AF11</f>
        <v>0</v>
      </c>
      <c r="AG45" s="563">
        <v>0</v>
      </c>
      <c r="AI45" s="499" t="s">
        <v>309</v>
      </c>
      <c r="AJ45" s="528">
        <v>431600</v>
      </c>
      <c r="AK45" s="358" t="s">
        <v>288</v>
      </c>
      <c r="AL45" s="358" t="s">
        <v>291</v>
      </c>
      <c r="AM45" s="381">
        <f>IF(SUMIF(V40:AG40,AI43,V44:AG44)&lt;0,-SUMIF(V40:AG40,AI43,V44:AG44),0)</f>
        <v>0</v>
      </c>
      <c r="AN45" s="652">
        <f>BA41+BA45-AZ50-AZ53+BA56-AZ58-0.01</f>
        <v>1441.76</v>
      </c>
      <c r="AS45" s="633">
        <v>431600</v>
      </c>
      <c r="AT45" s="576">
        <v>1683.55</v>
      </c>
      <c r="AU45" s="576"/>
      <c r="AV45" s="625"/>
      <c r="AW45" s="625">
        <v>1585.19</v>
      </c>
      <c r="AX45" s="576"/>
      <c r="AY45" s="588"/>
      <c r="AZ45" s="576"/>
      <c r="BA45" s="650">
        <v>98.36</v>
      </c>
    </row>
    <row r="46" spans="1:53">
      <c r="B46" s="481" t="s">
        <v>148</v>
      </c>
      <c r="C46" s="482">
        <f t="shared" si="20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607">
        <v>-59761.03</v>
      </c>
      <c r="T46" s="611">
        <v>59761.03</v>
      </c>
      <c r="U46" s="563">
        <v>0</v>
      </c>
      <c r="V46" s="482">
        <v>0</v>
      </c>
      <c r="W46" s="482">
        <v>0</v>
      </c>
      <c r="X46" s="482">
        <v>0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482">
        <v>0</v>
      </c>
      <c r="AF46" s="563"/>
      <c r="AG46" s="563">
        <f>-AF46*2</f>
        <v>0</v>
      </c>
      <c r="AI46" s="499" t="s">
        <v>310</v>
      </c>
      <c r="AJ46" s="528">
        <v>191000</v>
      </c>
      <c r="AK46" s="358" t="s">
        <v>288</v>
      </c>
      <c r="AL46" s="358" t="s">
        <v>291</v>
      </c>
      <c r="AM46" s="669">
        <f>-BA42+AZ46+AZ48-BA51-BA54+AZ57-BA59-0.02</f>
        <v>1441.76</v>
      </c>
      <c r="AN46" s="500">
        <f>IF((SUMIF(V40:AG40,AI43,V43:AG43)+SUMIF(V40:AG40,AI43,V44:AG44))&lt;0,-(SUMIF(V40:AG40,AI43,V43:AG43)+SUMIF(V40:AG40,AI43,V44:AG44)),0)</f>
        <v>0</v>
      </c>
      <c r="AS46" s="633">
        <v>191000</v>
      </c>
      <c r="AT46" s="576"/>
      <c r="AU46" s="576"/>
      <c r="AV46" s="625"/>
      <c r="AW46" s="625"/>
      <c r="AX46" s="576"/>
      <c r="AY46" s="588"/>
      <c r="AZ46" s="640">
        <v>98.36</v>
      </c>
      <c r="BA46" s="577"/>
    </row>
    <row r="47" spans="1:53" ht="16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23">SUM(F42:F46)</f>
        <v>122203.74560073584</v>
      </c>
      <c r="G47" s="541">
        <f t="shared" si="23"/>
        <v>121907.05607206978</v>
      </c>
      <c r="H47" s="541">
        <f t="shared" si="23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608">
        <f t="shared" ref="S47:T47" si="24">SUM(S42:S46)</f>
        <v>-2186758.912321737</v>
      </c>
      <c r="T47" s="618">
        <f t="shared" si="24"/>
        <v>-2068726.8406750287</v>
      </c>
      <c r="U47" s="541">
        <f>SUM(U42:U46)</f>
        <v>-1737320.8633880913</v>
      </c>
      <c r="V47" s="541">
        <f>SUM(V42:V46)</f>
        <v>-1379478.8048608438</v>
      </c>
      <c r="W47" s="541">
        <f t="shared" ref="W47:AG47" si="25">SUM(W42:W46)</f>
        <v>-1139051.2507813361</v>
      </c>
      <c r="X47" s="541">
        <f t="shared" si="25"/>
        <v>-926494.97766076634</v>
      </c>
      <c r="Y47" s="541">
        <f t="shared" si="25"/>
        <v>-767403.95316475024</v>
      </c>
      <c r="Z47" s="541">
        <f t="shared" si="25"/>
        <v>-685903.9184559501</v>
      </c>
      <c r="AA47" s="541">
        <f t="shared" si="25"/>
        <v>-623363.06595749676</v>
      </c>
      <c r="AB47" s="541">
        <f t="shared" si="25"/>
        <v>-564427.81379625306</v>
      </c>
      <c r="AC47" s="541">
        <f t="shared" si="25"/>
        <v>-496357.29236310825</v>
      </c>
      <c r="AD47" s="541">
        <f t="shared" si="25"/>
        <v>-416678.49653467751</v>
      </c>
      <c r="AE47" s="541">
        <f t="shared" si="25"/>
        <v>-299312.53568921064</v>
      </c>
      <c r="AF47" s="541">
        <f t="shared" si="25"/>
        <v>-299561.96280228498</v>
      </c>
      <c r="AG47" s="541">
        <f t="shared" si="25"/>
        <v>-299811.59777128691</v>
      </c>
      <c r="AI47" s="499" t="s">
        <v>311</v>
      </c>
      <c r="AJ47" s="528">
        <v>805110</v>
      </c>
      <c r="AK47" s="358" t="s">
        <v>288</v>
      </c>
      <c r="AL47" s="358" t="s">
        <v>291</v>
      </c>
      <c r="AM47" s="381">
        <f>IF((SUMIF(V40:AG40,AI43,V43:AG43))&lt;0,-(SUMIF(V40:AG40,AI43,V43:AG43)),0)</f>
        <v>0</v>
      </c>
      <c r="AN47" s="500">
        <f>IF((SUMIF(V40:AG40,AI43,V43:AG43))&gt;0,(SUMIF(V40:AG40,AI43,V43:AG43)),0)</f>
        <v>0</v>
      </c>
      <c r="AS47" s="633">
        <v>805110</v>
      </c>
      <c r="AT47" s="576">
        <v>1539.15</v>
      </c>
      <c r="AU47" s="576"/>
      <c r="AV47" s="625"/>
      <c r="AW47" s="625"/>
      <c r="AX47" s="576"/>
      <c r="AY47" s="588"/>
      <c r="AZ47" s="576"/>
      <c r="BA47" s="675">
        <v>1539.15</v>
      </c>
    </row>
    <row r="48" spans="1:53" ht="16" thickTop="1">
      <c r="B48" s="481" t="s">
        <v>260</v>
      </c>
      <c r="E48" s="482" t="e">
        <f ca="1">_xll.Get_Balance(E40,"YTD","USD","Total","A","","001",$A$40,"GD","ID","DL")</f>
        <v>#NAME?</v>
      </c>
      <c r="F48" s="482" t="e">
        <f ca="1">_xll.Get_Balance(F40,"YTD","USD","Total","A","","001",$A$40,"GD","ID","DL")</f>
        <v>#NAME?</v>
      </c>
      <c r="G48" s="482" t="e">
        <f ca="1">_xll.Get_Balance(G40,"YTD","USD","Total","A","","001",$A$40,"GD","ID","DL")</f>
        <v>#NAME?</v>
      </c>
      <c r="H48" s="482" t="e">
        <f ca="1">_xll.Get_Balance(H40,"YTD","USD","Total","A","","001",$A$40,"GD","ID","DL")</f>
        <v>#NAME?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606" t="e">
        <f ca="1">_xll.Get_Balance(S40,"YTD","USD","Total","A","","001",$A$40,"GD","ID","DL")</f>
        <v>#NAME?</v>
      </c>
      <c r="T48" s="614" t="e">
        <f ca="1">_xll.Get_Balance(T40,"YTD","USD","Total","A","","001",$A$40,"GD","ID","DL")</f>
        <v>#NAME?</v>
      </c>
      <c r="U48" s="482" t="e">
        <f ca="1">_xll.Get_Balance(U40,"YTD","USD","Total","A","","001",$A$40,"GD","ID","DL")</f>
        <v>#NAME?</v>
      </c>
      <c r="V48" s="482" t="e">
        <f ca="1">_xll.Get_Balance(V40,"YTD","USD","Total","A","","001",$A$40,"GD","ID","DL")</f>
        <v>#NAME?</v>
      </c>
      <c r="W48" s="482" t="e">
        <f ca="1">_xll.Get_Balance(W40,"YTD","USD","Total","A","","001",$A$40,"GD","ID","DL")</f>
        <v>#NAME?</v>
      </c>
      <c r="X48" s="482" t="e">
        <f ca="1">_xll.Get_Balance(X40,"YTD","USD","Total","A","","001",$A$40,"GD","ID","DL")</f>
        <v>#NAME?</v>
      </c>
      <c r="Y48" s="482" t="e">
        <f ca="1">_xll.Get_Balance(Y40,"YTD","USD","Total","A","","001",$A$40,"GD","ID","DL")</f>
        <v>#NAME?</v>
      </c>
      <c r="Z48" s="482" t="e">
        <f ca="1">_xll.Get_Balance(Z40,"YTD","USD","Total","A","","001",$A$40,"GD","ID","DL")</f>
        <v>#NAME?</v>
      </c>
      <c r="AA48" s="482" t="e">
        <f ca="1">_xll.Get_Balance(AA40,"YTD","USD","Total","A","","001",$A$40,"GD","ID","DL")</f>
        <v>#NAME?</v>
      </c>
      <c r="AB48" s="482" t="e">
        <f ca="1">_xll.Get_Balance(AB40,"YTD","USD","Total","A","","001",$A$40,"GD","ID","DL")</f>
        <v>#NAME?</v>
      </c>
      <c r="AC48" s="482" t="e">
        <f ca="1">_xll.Get_Balance(AC40,"YTD","USD","Total","A","","001",$A$40,"GD","ID","DL")</f>
        <v>#NAME?</v>
      </c>
      <c r="AD48" s="482" t="e">
        <f ca="1">_xll.Get_Balance(AD40,"YTD","USD","Total","A","","001",$A$40,"GD","ID","DL")</f>
        <v>#NAME?</v>
      </c>
      <c r="AE48" s="482" t="e">
        <f ca="1">_xll.Get_Balance(AE40,"YTD","USD","Total","A","","001",$A$40,"GD","ID","DL")</f>
        <v>#NAME?</v>
      </c>
      <c r="AF48" s="482" t="e">
        <f ca="1">_xll.Get_Balance(AF40,"YTD","USD","Total","A","","001",$A$40,"GD","ID","DL")</f>
        <v>#NAME?</v>
      </c>
      <c r="AG48" s="482" t="e">
        <f ca="1">_xll.Get_Balance(AG40,"YTD","USD","Total","A","","001",$A$40,"GD","ID","DL")</f>
        <v>#NAME?</v>
      </c>
      <c r="AI48" s="153" t="s">
        <v>156</v>
      </c>
      <c r="AJ48" s="209">
        <f t="shared" ref="AJ48:AL49" si="26">AJ46</f>
        <v>191000</v>
      </c>
      <c r="AK48" s="209" t="str">
        <f t="shared" si="26"/>
        <v>GD</v>
      </c>
      <c r="AL48" s="209" t="str">
        <f t="shared" si="26"/>
        <v>ID</v>
      </c>
      <c r="AM48" s="472">
        <v>0</v>
      </c>
      <c r="AN48" s="462"/>
      <c r="AS48" s="633">
        <v>191000</v>
      </c>
      <c r="AT48" s="576"/>
      <c r="AU48" s="576">
        <v>1539.15</v>
      </c>
      <c r="AV48" s="625"/>
      <c r="AW48" s="625"/>
      <c r="AX48" s="576"/>
      <c r="AY48" s="588"/>
      <c r="AZ48" s="640">
        <v>1539.15</v>
      </c>
      <c r="BA48" s="577"/>
    </row>
    <row r="49" spans="1:53" ht="16" thickBot="1">
      <c r="B49" s="481" t="s">
        <v>245</v>
      </c>
      <c r="E49" s="482" t="e">
        <f t="shared" ref="E49:H49" ca="1" si="27">E47-E48</f>
        <v>#NAME?</v>
      </c>
      <c r="F49" s="482" t="e">
        <f t="shared" ca="1" si="27"/>
        <v>#NAME?</v>
      </c>
      <c r="G49" s="482" t="e">
        <f t="shared" ca="1" si="27"/>
        <v>#NAME?</v>
      </c>
      <c r="H49" s="482" t="e">
        <f t="shared" ca="1" si="27"/>
        <v>#NAME?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609" t="e">
        <f ca="1">S47-S48</f>
        <v>#NAME?</v>
      </c>
      <c r="T49" s="518" t="e">
        <f ca="1">T47-T48</f>
        <v>#NAME?</v>
      </c>
      <c r="U49" s="482" t="e">
        <f ca="1">U47-U48</f>
        <v>#NAME?</v>
      </c>
      <c r="V49" s="482" t="e">
        <f ca="1">V47-V48</f>
        <v>#NAME?</v>
      </c>
      <c r="W49" s="482" t="e">
        <f t="shared" ref="W49:AH49" ca="1" si="28">W47-W48</f>
        <v>#NAME?</v>
      </c>
      <c r="X49" s="482" t="e">
        <f t="shared" ca="1" si="28"/>
        <v>#NAME?</v>
      </c>
      <c r="Y49" s="482" t="e">
        <f t="shared" ca="1" si="28"/>
        <v>#NAME?</v>
      </c>
      <c r="Z49" s="482" t="e">
        <f t="shared" ca="1" si="28"/>
        <v>#NAME?</v>
      </c>
      <c r="AA49" s="482" t="e">
        <f t="shared" ca="1" si="28"/>
        <v>#NAME?</v>
      </c>
      <c r="AB49" s="482" t="e">
        <f t="shared" ca="1" si="28"/>
        <v>#NAME?</v>
      </c>
      <c r="AC49" s="482" t="e">
        <f t="shared" ca="1" si="28"/>
        <v>#NAME?</v>
      </c>
      <c r="AD49" s="482" t="e">
        <f t="shared" ca="1" si="28"/>
        <v>#NAME?</v>
      </c>
      <c r="AE49" s="482" t="e">
        <f t="shared" ca="1" si="28"/>
        <v>#NAME?</v>
      </c>
      <c r="AF49" s="482" t="e">
        <f t="shared" ca="1" si="28"/>
        <v>#NAME?</v>
      </c>
      <c r="AG49" s="482" t="e">
        <f t="shared" ca="1" si="28"/>
        <v>#NAME?</v>
      </c>
      <c r="AH49" s="482">
        <f t="shared" si="28"/>
        <v>0</v>
      </c>
      <c r="AI49" s="154" t="str">
        <f>AI48</f>
        <v>Large Customer Refund</v>
      </c>
      <c r="AJ49" s="561">
        <f t="shared" si="26"/>
        <v>805110</v>
      </c>
      <c r="AK49" s="561" t="str">
        <f t="shared" si="26"/>
        <v>GD</v>
      </c>
      <c r="AL49" s="561" t="str">
        <f t="shared" si="26"/>
        <v>ID</v>
      </c>
      <c r="AM49" s="464"/>
      <c r="AN49" s="473">
        <v>0</v>
      </c>
      <c r="AS49" s="632" t="s">
        <v>345</v>
      </c>
      <c r="AT49" s="573"/>
      <c r="AU49" s="573"/>
      <c r="AV49" s="637"/>
      <c r="AW49" s="637"/>
      <c r="AX49" s="573"/>
      <c r="AY49" s="584"/>
      <c r="AZ49" s="573"/>
      <c r="BA49" s="574"/>
    </row>
    <row r="50" spans="1:53" ht="16" thickBot="1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I50" s="516"/>
      <c r="AJ50" s="530"/>
      <c r="AK50" s="517"/>
      <c r="AL50" s="517"/>
      <c r="AM50" s="517" t="s">
        <v>159</v>
      </c>
      <c r="AN50" s="518">
        <f>SUM(AM44:AM49)-SUM(AN44:AN49)</f>
        <v>0</v>
      </c>
      <c r="AS50" s="633">
        <v>431600</v>
      </c>
      <c r="AT50" s="603">
        <v>1297.17</v>
      </c>
      <c r="AU50" s="576"/>
      <c r="AV50" s="588"/>
      <c r="AW50" s="576">
        <v>1298.1300000000001</v>
      </c>
      <c r="AX50" s="576"/>
      <c r="AY50" s="588"/>
      <c r="AZ50" s="651">
        <v>0.96</v>
      </c>
      <c r="BA50" s="577"/>
    </row>
    <row r="51" spans="1:53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/>
      <c r="U51" s="484">
        <v>201412</v>
      </c>
      <c r="V51" s="484">
        <v>201501</v>
      </c>
      <c r="W51" s="484">
        <f>V51+1</f>
        <v>201502</v>
      </c>
      <c r="X51" s="484">
        <f t="shared" ref="X51:AG51" si="29">W51+1</f>
        <v>201503</v>
      </c>
      <c r="Y51" s="484">
        <f t="shared" si="29"/>
        <v>201504</v>
      </c>
      <c r="Z51" s="484">
        <f t="shared" si="29"/>
        <v>201505</v>
      </c>
      <c r="AA51" s="484">
        <f t="shared" si="29"/>
        <v>201506</v>
      </c>
      <c r="AB51" s="484">
        <f t="shared" si="29"/>
        <v>201507</v>
      </c>
      <c r="AC51" s="484">
        <f t="shared" si="29"/>
        <v>201508</v>
      </c>
      <c r="AD51" s="484">
        <f t="shared" si="29"/>
        <v>201509</v>
      </c>
      <c r="AE51" s="484">
        <f t="shared" si="29"/>
        <v>201510</v>
      </c>
      <c r="AF51" s="484">
        <f t="shared" si="29"/>
        <v>201511</v>
      </c>
      <c r="AG51" s="484">
        <f t="shared" si="29"/>
        <v>201512</v>
      </c>
      <c r="AS51" s="633">
        <v>191000</v>
      </c>
      <c r="AT51" s="603"/>
      <c r="AU51" s="576"/>
      <c r="AV51" s="588"/>
      <c r="AW51" s="576"/>
      <c r="AX51" s="576"/>
      <c r="AY51" s="588"/>
      <c r="AZ51" s="576"/>
      <c r="BA51" s="656">
        <v>0.96</v>
      </c>
    </row>
    <row r="52" spans="1:53">
      <c r="A52" s="483"/>
      <c r="B52" s="481" t="s">
        <v>37</v>
      </c>
      <c r="C52" s="491">
        <f>SUM(V52:AG52)</f>
        <v>39097164</v>
      </c>
      <c r="D52" s="491">
        <f>SUM(F52:Q52)</f>
        <v>52384687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/>
      <c r="U52" s="491">
        <v>8470110</v>
      </c>
      <c r="V52" s="491">
        <f>Jan!$K36</f>
        <v>8991869</v>
      </c>
      <c r="W52" s="491">
        <f>Feb!$K36</f>
        <v>5607449</v>
      </c>
      <c r="X52" s="491">
        <f>Mar!$K36</f>
        <v>5090227</v>
      </c>
      <c r="Y52" s="491">
        <f>Apr!$K36</f>
        <v>3621515</v>
      </c>
      <c r="Z52" s="491">
        <f>May!$K36</f>
        <v>1624041</v>
      </c>
      <c r="AA52" s="491">
        <f>Jun!$K36</f>
        <v>985347</v>
      </c>
      <c r="AB52" s="491">
        <f>Jul!$K36</f>
        <v>990038</v>
      </c>
      <c r="AC52" s="491">
        <f>Aug!$K36</f>
        <v>930531</v>
      </c>
      <c r="AD52" s="491">
        <f>Sep!$K36</f>
        <v>1531464</v>
      </c>
      <c r="AE52" s="491">
        <f>Oct!$K36</f>
        <v>2476612</v>
      </c>
      <c r="AF52" s="491">
        <f>Nov!$K36</f>
        <v>7248071</v>
      </c>
      <c r="AG52" s="491">
        <f>Dec!$K36</f>
        <v>0</v>
      </c>
      <c r="AH52" s="491">
        <f>Jan!$K36</f>
        <v>8991869</v>
      </c>
      <c r="AS52" s="632" t="s">
        <v>343</v>
      </c>
      <c r="AT52" s="646"/>
      <c r="AU52" s="574"/>
      <c r="AV52" s="573"/>
      <c r="AW52" s="637"/>
      <c r="AX52" s="574"/>
      <c r="AY52" s="573"/>
      <c r="AZ52" s="637"/>
      <c r="BA52" s="574"/>
    </row>
    <row r="53" spans="1:53">
      <c r="A53" s="483"/>
      <c r="B53" s="481" t="s">
        <v>38</v>
      </c>
      <c r="C53" s="491">
        <f t="shared" ref="C53:C60" si="30">SUM(V53:AG53)</f>
        <v>18037646</v>
      </c>
      <c r="D53" s="491">
        <f>SUM(F53:Q53)</f>
        <v>20863784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/>
      <c r="U53" s="491">
        <v>2595480</v>
      </c>
      <c r="V53" s="491">
        <f>Jan!$K37</f>
        <v>2818068</v>
      </c>
      <c r="W53" s="491">
        <f>Feb!$K37</f>
        <v>2333245</v>
      </c>
      <c r="X53" s="491">
        <f>Mar!$K37</f>
        <v>1927746</v>
      </c>
      <c r="Y53" s="491">
        <f>Apr!$K37</f>
        <v>1633221</v>
      </c>
      <c r="Z53" s="491">
        <f>May!$K37</f>
        <v>1075904</v>
      </c>
      <c r="AA53" s="491">
        <f>Jun!$K37</f>
        <v>1089173</v>
      </c>
      <c r="AB53" s="491">
        <f>Jul!$K37</f>
        <v>964252</v>
      </c>
      <c r="AC53" s="491">
        <f>Aug!$K37</f>
        <v>1322423</v>
      </c>
      <c r="AD53" s="491">
        <f>Sep!$K37</f>
        <v>1101192</v>
      </c>
      <c r="AE53" s="491">
        <f>Oct!$K37</f>
        <v>1392647</v>
      </c>
      <c r="AF53" s="491">
        <f>Nov!$K37</f>
        <v>2379775</v>
      </c>
      <c r="AG53" s="491">
        <f>Dec!$K37</f>
        <v>0</v>
      </c>
      <c r="AH53" s="491">
        <f>Jan!$K37</f>
        <v>2818068</v>
      </c>
      <c r="AS53" s="633">
        <v>431600</v>
      </c>
      <c r="AT53" s="638">
        <v>1047.99</v>
      </c>
      <c r="AU53" s="577"/>
      <c r="AV53" s="576"/>
      <c r="AW53" s="625">
        <v>1048.95</v>
      </c>
      <c r="AX53" s="577"/>
      <c r="AY53" s="576"/>
      <c r="AZ53" s="668">
        <v>0.96</v>
      </c>
      <c r="BA53" s="577"/>
    </row>
    <row r="54" spans="1:53">
      <c r="A54" s="483"/>
      <c r="B54" s="481" t="s">
        <v>39</v>
      </c>
      <c r="C54" s="491">
        <f t="shared" si="30"/>
        <v>246353</v>
      </c>
      <c r="D54" s="491">
        <f>SUM(F54:Q54)</f>
        <v>216282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/>
      <c r="U54" s="491">
        <v>22942</v>
      </c>
      <c r="V54" s="491">
        <f>Jan!$K38</f>
        <v>2994</v>
      </c>
      <c r="W54" s="491">
        <f>Feb!$K38</f>
        <v>1973</v>
      </c>
      <c r="X54" s="491">
        <f>Mar!$K38</f>
        <v>871</v>
      </c>
      <c r="Y54" s="491">
        <f>Apr!$K38</f>
        <v>5610</v>
      </c>
      <c r="Z54" s="491">
        <f>May!$K38</f>
        <v>18173</v>
      </c>
      <c r="AA54" s="491">
        <f>Jun!$K38</f>
        <v>21920</v>
      </c>
      <c r="AB54" s="491">
        <f>Jul!$K38</f>
        <v>28026</v>
      </c>
      <c r="AC54" s="491">
        <f>Aug!$K38</f>
        <v>47622</v>
      </c>
      <c r="AD54" s="491">
        <f>Sep!$K38</f>
        <v>26734</v>
      </c>
      <c r="AE54" s="491">
        <f>Oct!$K38</f>
        <v>68934</v>
      </c>
      <c r="AF54" s="491">
        <f>Nov!$K38</f>
        <v>23496</v>
      </c>
      <c r="AG54" s="491">
        <f>Dec!$K38</f>
        <v>0</v>
      </c>
      <c r="AH54" s="491">
        <f>Jan!$K38</f>
        <v>2994</v>
      </c>
      <c r="AS54" s="634">
        <v>191000</v>
      </c>
      <c r="AT54" s="639"/>
      <c r="AU54" s="582"/>
      <c r="AV54" s="581"/>
      <c r="AW54" s="642"/>
      <c r="AX54" s="582"/>
      <c r="AY54" s="581"/>
      <c r="AZ54" s="642"/>
      <c r="BA54" s="671">
        <v>0.96</v>
      </c>
    </row>
    <row r="55" spans="1:53">
      <c r="A55" s="483"/>
      <c r="B55" s="481" t="s">
        <v>40</v>
      </c>
      <c r="C55" s="491">
        <f t="shared" si="30"/>
        <v>0</v>
      </c>
      <c r="D55" s="491">
        <f>SUM(F55:Q55)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/>
      <c r="U55" s="491">
        <v>0</v>
      </c>
      <c r="V55" s="491">
        <f>Jan!$K39</f>
        <v>0</v>
      </c>
      <c r="W55" s="491">
        <f>Feb!$K39</f>
        <v>0</v>
      </c>
      <c r="X55" s="491">
        <f>Mar!$K39</f>
        <v>0</v>
      </c>
      <c r="Y55" s="491">
        <f>Apr!$K39</f>
        <v>0</v>
      </c>
      <c r="Z55" s="491">
        <f>May!$K39</f>
        <v>0</v>
      </c>
      <c r="AA55" s="491">
        <f>Jun!$K39</f>
        <v>0</v>
      </c>
      <c r="AB55" s="491">
        <f>Jul!$K39</f>
        <v>0</v>
      </c>
      <c r="AC55" s="491">
        <f>Aug!$K39</f>
        <v>0</v>
      </c>
      <c r="AD55" s="491">
        <f>Sep!$K39</f>
        <v>0</v>
      </c>
      <c r="AE55" s="491">
        <f>Oct!$K39</f>
        <v>0</v>
      </c>
      <c r="AF55" s="491">
        <f>Nov!$K39</f>
        <v>0</v>
      </c>
      <c r="AG55" s="491">
        <f>Dec!$K39</f>
        <v>0</v>
      </c>
      <c r="AH55" s="491">
        <f>Jan!$K39</f>
        <v>0</v>
      </c>
      <c r="AS55" s="641" t="s">
        <v>344</v>
      </c>
      <c r="AT55" s="638"/>
      <c r="AU55" s="647"/>
      <c r="AV55" s="576"/>
      <c r="AW55" s="625"/>
      <c r="AX55" s="577"/>
      <c r="AY55" s="576"/>
      <c r="AZ55" s="625"/>
      <c r="BA55" s="577"/>
    </row>
    <row r="56" spans="1:53">
      <c r="A56" s="483"/>
      <c r="B56" s="481" t="s">
        <v>41</v>
      </c>
      <c r="C56" s="491">
        <f t="shared" si="30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S56" s="630">
        <v>431600</v>
      </c>
      <c r="AT56" s="638">
        <v>1297.1300000000001</v>
      </c>
      <c r="AU56" s="577"/>
      <c r="AV56" s="576"/>
      <c r="AW56" s="625"/>
      <c r="AX56" s="577"/>
      <c r="AY56" s="576"/>
      <c r="AZ56" s="625"/>
      <c r="BA56" s="650">
        <v>1297.1300000000001</v>
      </c>
    </row>
    <row r="57" spans="1:53">
      <c r="A57" s="483"/>
      <c r="B57" s="481" t="s">
        <v>42</v>
      </c>
      <c r="C57" s="491">
        <f t="shared" si="30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S57" s="633">
        <v>191000</v>
      </c>
      <c r="AT57" s="638"/>
      <c r="AU57" s="577">
        <v>1297.1300000000001</v>
      </c>
      <c r="AV57" s="576"/>
      <c r="AW57" s="625"/>
      <c r="AX57" s="577"/>
      <c r="AY57" s="576"/>
      <c r="AZ57" s="670">
        <v>1297.1300000000001</v>
      </c>
      <c r="BA57" s="577"/>
    </row>
    <row r="58" spans="1:53">
      <c r="A58" s="483"/>
      <c r="B58" s="481" t="s">
        <v>43</v>
      </c>
      <c r="C58" s="491">
        <f t="shared" si="30"/>
        <v>148273</v>
      </c>
      <c r="D58" s="491">
        <f>SUM(F58:Q58)</f>
        <v>312916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/>
      <c r="U58" s="491">
        <v>38391</v>
      </c>
      <c r="V58" s="491">
        <f>Jan!$K42</f>
        <v>40458</v>
      </c>
      <c r="W58" s="491">
        <f>Feb!$K42</f>
        <v>33212</v>
      </c>
      <c r="X58" s="491">
        <f>Mar!$K42</f>
        <v>33140</v>
      </c>
      <c r="Y58" s="491">
        <f>Apr!$K42</f>
        <v>25684</v>
      </c>
      <c r="Z58" s="491">
        <f>May!$K42</f>
        <v>15779</v>
      </c>
      <c r="AA58" s="491">
        <f>Jun!$K42</f>
        <v>0</v>
      </c>
      <c r="AB58" s="491">
        <f>Jul!$K42</f>
        <v>0</v>
      </c>
      <c r="AC58" s="491">
        <f>Aug!$K42</f>
        <v>0</v>
      </c>
      <c r="AD58" s="491">
        <f>Sep!$K42</f>
        <v>0</v>
      </c>
      <c r="AE58" s="491">
        <f>Oct!$K42</f>
        <v>0</v>
      </c>
      <c r="AF58" s="491">
        <f>Nov!$K42</f>
        <v>0</v>
      </c>
      <c r="AG58" s="491">
        <f>Dec!$K42</f>
        <v>0</v>
      </c>
      <c r="AH58" s="491">
        <f>Jan!$K42</f>
        <v>40458</v>
      </c>
      <c r="AS58" s="630">
        <v>431600</v>
      </c>
      <c r="AT58" s="638">
        <v>859.33</v>
      </c>
      <c r="AU58" s="647"/>
      <c r="AV58" s="576"/>
      <c r="AW58" s="625">
        <v>860.29</v>
      </c>
      <c r="AX58" s="577"/>
      <c r="AY58" s="576"/>
      <c r="AZ58" s="668">
        <v>0.96</v>
      </c>
      <c r="BA58" s="577"/>
    </row>
    <row r="59" spans="1:53">
      <c r="A59" s="483"/>
      <c r="B59" s="481" t="s">
        <v>74</v>
      </c>
      <c r="C59" s="491">
        <f t="shared" ref="C59" si="31">SUM(I59:U59)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V59" s="491"/>
      <c r="W59" s="491"/>
      <c r="AS59" s="644">
        <v>191000</v>
      </c>
      <c r="AT59" s="661"/>
      <c r="AU59" s="582"/>
      <c r="AV59" s="662"/>
      <c r="AW59" s="663"/>
      <c r="AX59" s="664"/>
      <c r="AY59" s="581"/>
      <c r="AZ59" s="642"/>
      <c r="BA59" s="671">
        <v>0.96</v>
      </c>
    </row>
    <row r="60" spans="1:53" ht="16" thickBot="1">
      <c r="A60" s="483"/>
      <c r="B60" s="481" t="s">
        <v>21</v>
      </c>
      <c r="C60" s="542">
        <f t="shared" si="30"/>
        <v>57529436</v>
      </c>
      <c r="D60" s="542">
        <f>SUM(F60:Q60)</f>
        <v>73777669</v>
      </c>
      <c r="E60" s="542" t="s">
        <v>272</v>
      </c>
      <c r="F60" s="542">
        <f>SUM(F52:F59)</f>
        <v>0</v>
      </c>
      <c r="G60" s="542">
        <f t="shared" ref="G60:H60" si="32">SUM(G52:G59)</f>
        <v>9560411</v>
      </c>
      <c r="H60" s="542">
        <f t="shared" si="32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/>
      <c r="U60" s="542">
        <v>11126923</v>
      </c>
      <c r="V60" s="542">
        <f t="shared" ref="V60:AG60" si="33">SUM(V52:V59)</f>
        <v>11853389</v>
      </c>
      <c r="W60" s="542">
        <f t="shared" si="33"/>
        <v>7975879</v>
      </c>
      <c r="X60" s="542">
        <f t="shared" si="33"/>
        <v>7051984</v>
      </c>
      <c r="Y60" s="542">
        <f t="shared" si="33"/>
        <v>5286030</v>
      </c>
      <c r="Z60" s="542">
        <f t="shared" si="33"/>
        <v>2733897</v>
      </c>
      <c r="AA60" s="542">
        <f t="shared" si="33"/>
        <v>2096440</v>
      </c>
      <c r="AB60" s="542">
        <f t="shared" si="33"/>
        <v>1982316</v>
      </c>
      <c r="AC60" s="542">
        <f t="shared" si="33"/>
        <v>2300576</v>
      </c>
      <c r="AD60" s="542">
        <f t="shared" si="33"/>
        <v>2659390</v>
      </c>
      <c r="AE60" s="542">
        <f t="shared" si="33"/>
        <v>3938193</v>
      </c>
      <c r="AF60" s="542">
        <f t="shared" si="33"/>
        <v>9651342</v>
      </c>
      <c r="AG60" s="542">
        <f t="shared" si="33"/>
        <v>0</v>
      </c>
    </row>
    <row r="61" spans="1:53" ht="16" thickTop="1">
      <c r="A61" s="483"/>
      <c r="B61" s="481" t="s">
        <v>269</v>
      </c>
      <c r="C61" s="491">
        <f>SUM(V61:AG61)</f>
        <v>26881252</v>
      </c>
      <c r="D61" s="491">
        <f>SUM(F61:Q61)</f>
        <v>73777669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543"/>
      <c r="U61" s="482">
        <v>11126923</v>
      </c>
      <c r="V61" s="491">
        <v>11853389</v>
      </c>
      <c r="W61" s="491">
        <v>7975879</v>
      </c>
      <c r="X61" s="491">
        <f>Mar!K44</f>
        <v>7051984</v>
      </c>
      <c r="Y61" s="543"/>
      <c r="Z61" s="543"/>
      <c r="AA61" s="543"/>
      <c r="AB61" s="543"/>
      <c r="AC61" s="543"/>
      <c r="AD61" s="543"/>
      <c r="AE61" s="543"/>
      <c r="AF61" s="543"/>
      <c r="AX61" s="624">
        <v>191000</v>
      </c>
      <c r="AZ61" s="482">
        <f>AZ46+AZ57+AZ48</f>
        <v>2934.6400000000003</v>
      </c>
      <c r="BA61" s="482">
        <f>BA42+BA51+BA54+BA59</f>
        <v>1492.8600000000001</v>
      </c>
    </row>
    <row r="62" spans="1:53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</row>
    <row r="63" spans="1:53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/>
      <c r="U63" s="484">
        <v>201412</v>
      </c>
      <c r="V63" s="484">
        <v>201501</v>
      </c>
      <c r="W63" s="484">
        <f>V63+1</f>
        <v>201502</v>
      </c>
      <c r="X63" s="484">
        <f t="shared" ref="X63:AG63" si="34">W63+1</f>
        <v>201503</v>
      </c>
      <c r="Y63" s="484">
        <f t="shared" si="34"/>
        <v>201504</v>
      </c>
      <c r="Z63" s="484">
        <f t="shared" si="34"/>
        <v>201505</v>
      </c>
      <c r="AA63" s="484">
        <f t="shared" si="34"/>
        <v>201506</v>
      </c>
      <c r="AB63" s="484">
        <f t="shared" si="34"/>
        <v>201507</v>
      </c>
      <c r="AC63" s="484">
        <f t="shared" si="34"/>
        <v>201508</v>
      </c>
      <c r="AD63" s="484">
        <f t="shared" si="34"/>
        <v>201509</v>
      </c>
      <c r="AE63" s="484">
        <f t="shared" si="34"/>
        <v>201510</v>
      </c>
      <c r="AF63" s="484">
        <f t="shared" si="34"/>
        <v>201511</v>
      </c>
      <c r="AG63" s="484">
        <f t="shared" si="34"/>
        <v>201512</v>
      </c>
      <c r="AZ63" s="482">
        <f>AZ61-BA61</f>
        <v>1441.7800000000002</v>
      </c>
    </row>
    <row r="64" spans="1:53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/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1.482E-2</v>
      </c>
      <c r="AS64" s="483"/>
      <c r="AT64" s="483"/>
      <c r="AU64" s="483"/>
      <c r="AV64" s="483"/>
      <c r="AW64" s="483"/>
      <c r="AX64" s="483"/>
      <c r="AY64" s="483"/>
      <c r="AZ64" s="483"/>
      <c r="BA64" s="483"/>
    </row>
    <row r="65" spans="1:53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/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1.482E-2</v>
      </c>
      <c r="AS65" s="483"/>
      <c r="AT65" s="483"/>
      <c r="AU65" s="483"/>
      <c r="AV65" s="483"/>
      <c r="AW65" s="483"/>
      <c r="AX65" s="483"/>
      <c r="AY65" s="483"/>
      <c r="AZ65" s="483"/>
      <c r="BA65" s="483"/>
    </row>
    <row r="66" spans="1:53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/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1.482E-2</v>
      </c>
    </row>
    <row r="67" spans="1:53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/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1.482E-2</v>
      </c>
    </row>
    <row r="68" spans="1:53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</row>
    <row r="69" spans="1:53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I69" s="707" t="s">
        <v>330</v>
      </c>
      <c r="AJ69" s="708"/>
      <c r="AK69" s="708"/>
      <c r="AL69" s="708"/>
      <c r="AM69" s="708"/>
      <c r="AN69" s="708"/>
    </row>
    <row r="70" spans="1:53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/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1.482E-2</v>
      </c>
      <c r="AI70" s="708"/>
      <c r="AJ70" s="708"/>
      <c r="AK70" s="708"/>
      <c r="AL70" s="708"/>
      <c r="AM70" s="708"/>
      <c r="AN70" s="708"/>
    </row>
    <row r="71" spans="1:53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I71" s="708"/>
      <c r="AJ71" s="708"/>
      <c r="AK71" s="708"/>
      <c r="AL71" s="708"/>
      <c r="AM71" s="708"/>
      <c r="AN71" s="708"/>
    </row>
    <row r="72" spans="1:53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I72" s="708"/>
      <c r="AJ72" s="708"/>
      <c r="AK72" s="708"/>
      <c r="AL72" s="708"/>
      <c r="AM72" s="708"/>
      <c r="AN72" s="708"/>
    </row>
    <row r="73" spans="1:53" s="483" customForma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/>
      <c r="U73" s="484">
        <v>201412</v>
      </c>
      <c r="V73" s="484">
        <v>201501</v>
      </c>
      <c r="W73" s="484">
        <f>V73+1</f>
        <v>201502</v>
      </c>
      <c r="X73" s="484">
        <f t="shared" ref="X73:AG73" si="35">W73+1</f>
        <v>201503</v>
      </c>
      <c r="Y73" s="484">
        <f t="shared" si="35"/>
        <v>201504</v>
      </c>
      <c r="Z73" s="484">
        <f t="shared" si="35"/>
        <v>201505</v>
      </c>
      <c r="AA73" s="484">
        <f t="shared" si="35"/>
        <v>201506</v>
      </c>
      <c r="AB73" s="484">
        <f t="shared" si="35"/>
        <v>201507</v>
      </c>
      <c r="AC73" s="484">
        <f t="shared" si="35"/>
        <v>201508</v>
      </c>
      <c r="AD73" s="484">
        <f t="shared" si="35"/>
        <v>201509</v>
      </c>
      <c r="AE73" s="484">
        <f t="shared" si="35"/>
        <v>201510</v>
      </c>
      <c r="AF73" s="484">
        <f t="shared" si="35"/>
        <v>201511</v>
      </c>
      <c r="AG73" s="484">
        <f t="shared" si="35"/>
        <v>201512</v>
      </c>
      <c r="AI73" s="708"/>
      <c r="AJ73" s="708"/>
      <c r="AK73" s="708"/>
      <c r="AL73" s="708"/>
      <c r="AM73" s="708"/>
      <c r="AN73" s="708"/>
      <c r="AO73" s="482"/>
      <c r="AP73" s="482"/>
      <c r="AQ73" s="482"/>
      <c r="AR73" s="482"/>
      <c r="AS73" s="482"/>
      <c r="AT73" s="482"/>
      <c r="AU73" s="482"/>
      <c r="AV73" s="482"/>
      <c r="AW73" s="482"/>
      <c r="AX73" s="482"/>
      <c r="AY73" s="482"/>
      <c r="AZ73" s="482"/>
      <c r="BA73" s="482"/>
    </row>
    <row r="74" spans="1:53" s="483" customForma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/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I74" s="708"/>
      <c r="AJ74" s="708"/>
      <c r="AK74" s="708"/>
      <c r="AL74" s="708"/>
      <c r="AM74" s="708"/>
      <c r="AN74" s="708"/>
      <c r="AS74" s="482"/>
      <c r="AT74" s="482"/>
      <c r="AU74" s="482"/>
      <c r="AV74" s="482"/>
      <c r="AW74" s="482"/>
      <c r="AX74" s="482"/>
      <c r="AY74" s="482"/>
      <c r="AZ74" s="482"/>
      <c r="BA74" s="482"/>
    </row>
    <row r="75" spans="1:53" ht="16" thickBot="1">
      <c r="A75" s="493"/>
      <c r="B75" s="481" t="s">
        <v>253</v>
      </c>
      <c r="E75" s="482">
        <v>-1564267.6899999997</v>
      </c>
      <c r="F75" s="482">
        <f>E79</f>
        <v>-1565571.2464083331</v>
      </c>
      <c r="G75" s="482">
        <f>F79</f>
        <v>-1478312.2029470066</v>
      </c>
      <c r="H75" s="482">
        <f>G79</f>
        <v>-1339478.1882327958</v>
      </c>
      <c r="I75" s="482">
        <v>-1135996.718859798</v>
      </c>
      <c r="J75" s="482">
        <v>-962575.67419983121</v>
      </c>
      <c r="K75" s="482">
        <v>-785906.0743522977</v>
      </c>
      <c r="L75" s="482">
        <v>-649044.54606452456</v>
      </c>
      <c r="M75" s="482">
        <v>-566646.74091115326</v>
      </c>
      <c r="N75" s="482">
        <v>-521604.79837865423</v>
      </c>
      <c r="O75" s="482">
        <v>-484025.98660976981</v>
      </c>
      <c r="P75" s="482">
        <v>-455667.85197583633</v>
      </c>
      <c r="Q75" s="482">
        <v>-425185.98752664123</v>
      </c>
      <c r="R75" s="482">
        <v>-393486.99357723846</v>
      </c>
      <c r="S75" s="482">
        <v>-328715.06273061951</v>
      </c>
      <c r="U75" s="482">
        <v>-176703.47735926168</v>
      </c>
      <c r="V75" s="482">
        <f>U79</f>
        <v>-11881.022647536076</v>
      </c>
      <c r="W75" s="482">
        <f>V79</f>
        <v>-11890.918517667358</v>
      </c>
      <c r="X75" s="482">
        <f t="shared" ref="X75:AG75" si="36">W79</f>
        <v>-11900.827616432081</v>
      </c>
      <c r="Y75" s="482">
        <f t="shared" si="36"/>
        <v>-11910.744972779108</v>
      </c>
      <c r="Z75" s="482">
        <f t="shared" si="36"/>
        <v>-11920.670593589757</v>
      </c>
      <c r="AA75" s="482">
        <f t="shared" si="36"/>
        <v>-11930.604485751082</v>
      </c>
      <c r="AB75" s="482">
        <f t="shared" si="36"/>
        <v>-11940.546656155875</v>
      </c>
      <c r="AC75" s="482">
        <f t="shared" si="36"/>
        <v>-11950.497111702673</v>
      </c>
      <c r="AD75" s="482">
        <f t="shared" si="36"/>
        <v>-11960.455859295758</v>
      </c>
      <c r="AE75" s="482">
        <f t="shared" si="36"/>
        <v>-11970.422905845171</v>
      </c>
      <c r="AF75" s="482">
        <f t="shared" si="36"/>
        <v>-11980.398258266709</v>
      </c>
      <c r="AG75" s="482">
        <f t="shared" si="36"/>
        <v>-11990.381923481931</v>
      </c>
      <c r="AI75" s="564" t="s">
        <v>330</v>
      </c>
      <c r="AO75" s="483"/>
      <c r="AP75" s="483"/>
      <c r="AQ75" s="483"/>
      <c r="AR75" s="483"/>
    </row>
    <row r="76" spans="1:53" ht="16" thickBot="1">
      <c r="B76" s="481" t="s">
        <v>23</v>
      </c>
      <c r="C76" s="482">
        <f>SUM(V76:AG76)</f>
        <v>4.9799999978858978E-3</v>
      </c>
      <c r="D76" s="491">
        <f>SUM(F76:Q76)</f>
        <v>1181062.2835600001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37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U76" s="482">
        <v>164900.99885999999</v>
      </c>
      <c r="V76" s="482">
        <f>SUMPRODUCT(V52:V59,V64:V71)-175667.22</f>
        <v>4.9799999978858978E-3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I76" s="513" t="str">
        <f>AI4</f>
        <v>201504 Correcting Entry</v>
      </c>
      <c r="AJ76" s="526"/>
      <c r="AK76" s="514"/>
      <c r="AL76" s="514"/>
      <c r="AM76" s="523"/>
      <c r="AN76" s="515"/>
    </row>
    <row r="77" spans="1:53">
      <c r="B77" s="481" t="s">
        <v>4</v>
      </c>
      <c r="C77" s="482">
        <f t="shared" ref="C77:C78" si="38">SUM(V77:AG77)</f>
        <v>-119.35624088208631</v>
      </c>
      <c r="D77" s="491">
        <f>SUM(F77:Q77)</f>
        <v>-8149.5707289055363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f>(G75*(G74/12))+((G76/2)*(G74/12))</f>
        <v>-1173.2452857891722</v>
      </c>
      <c r="H77" s="489">
        <f>(H75*(H74/12))+((H76/2)*(H74/12))</f>
        <v>-1031.0182870023298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/>
      <c r="U77" s="489">
        <v>-78.544148274384753</v>
      </c>
      <c r="V77" s="569">
        <f>((V75*(V74/12))+((V76/2)*(V74/12)))</f>
        <v>-9.9008501312800643</v>
      </c>
      <c r="W77" s="489">
        <f t="shared" ref="W77:AE77" si="39">((W75*(W74/12))+((W76/2)*(W74/12)))</f>
        <v>-9.909098764722799</v>
      </c>
      <c r="X77" s="489">
        <f t="shared" si="39"/>
        <v>-9.9173563470267343</v>
      </c>
      <c r="Y77" s="489">
        <f t="shared" si="39"/>
        <v>-9.9256208106492583</v>
      </c>
      <c r="Z77" s="489">
        <f t="shared" si="39"/>
        <v>-9.933892161324799</v>
      </c>
      <c r="AA77" s="489">
        <f t="shared" si="39"/>
        <v>-9.9421704047925701</v>
      </c>
      <c r="AB77" s="489">
        <f t="shared" si="39"/>
        <v>-9.9504555467965634</v>
      </c>
      <c r="AC77" s="489">
        <f t="shared" si="39"/>
        <v>-9.9587475930855618</v>
      </c>
      <c r="AD77" s="489">
        <f t="shared" si="39"/>
        <v>-9.9670465494131317</v>
      </c>
      <c r="AE77" s="489">
        <f t="shared" si="39"/>
        <v>-9.975352421537643</v>
      </c>
      <c r="AF77" s="489">
        <f>((AF75*(AF74/12))+((AF76/2)*(AF74/12)))</f>
        <v>-9.983665215222258</v>
      </c>
      <c r="AG77" s="489">
        <f>((AG75*(AG74/12))+((AG76/2)*(AG74/12)))</f>
        <v>-9.9919849362349424</v>
      </c>
      <c r="AI77" s="497" t="s">
        <v>308</v>
      </c>
      <c r="AJ77" s="527">
        <v>419600</v>
      </c>
      <c r="AK77" s="498" t="s">
        <v>288</v>
      </c>
      <c r="AL77" s="498" t="s">
        <v>291</v>
      </c>
      <c r="AM77" s="470">
        <f>IF(SUMIF(V72:AG72,AI75,V76:AG76)&lt;0,-SUMIF(V72:AG72,AI75,V76:AG76),0)</f>
        <v>0</v>
      </c>
      <c r="AN77" s="520">
        <f>IF(SUMIF(V73:AG73,AI76,V77:AG77)&gt;0,SUMIF(V73:AG73,AI76,V77:AG77),0)</f>
        <v>0</v>
      </c>
    </row>
    <row r="78" spans="1:53">
      <c r="B78" s="481" t="s">
        <v>148</v>
      </c>
      <c r="C78" s="482">
        <f t="shared" si="38"/>
        <v>0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U78" s="482">
        <v>0</v>
      </c>
      <c r="V78" s="482">
        <v>0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I78" s="153" t="s">
        <v>309</v>
      </c>
      <c r="AJ78" s="209">
        <v>431600</v>
      </c>
      <c r="AK78" s="7" t="s">
        <v>288</v>
      </c>
      <c r="AL78" s="7" t="s">
        <v>291</v>
      </c>
      <c r="AM78" s="472">
        <f>IF(SUMIF(V73:AG73,AI76,V77:AG77)&lt;0,-SUMIF(V73:AG73,AI76,V77:AG77),0)</f>
        <v>0</v>
      </c>
      <c r="AN78" s="462">
        <v>0</v>
      </c>
    </row>
    <row r="79" spans="1:53" ht="16" thickBot="1">
      <c r="B79" s="481" t="s">
        <v>56</v>
      </c>
      <c r="C79" s="541"/>
      <c r="D79" s="541"/>
      <c r="E79" s="541">
        <f t="shared" ref="E79:H79" si="40">SUM(E75:E78)</f>
        <v>-1565571.2464083331</v>
      </c>
      <c r="F79" s="541">
        <f t="shared" si="40"/>
        <v>-1478312.2029470066</v>
      </c>
      <c r="G79" s="541">
        <f t="shared" si="40"/>
        <v>-1339478.1882327958</v>
      </c>
      <c r="H79" s="541">
        <f t="shared" si="40"/>
        <v>-1135996.718859798</v>
      </c>
      <c r="I79" s="541">
        <v>-962575.67419983121</v>
      </c>
      <c r="J79" s="541">
        <v>-785906.0743522977</v>
      </c>
      <c r="K79" s="541">
        <v>-649044.54606452456</v>
      </c>
      <c r="L79" s="541">
        <v>-566646.74091115326</v>
      </c>
      <c r="M79" s="541">
        <v>-521604.79837865423</v>
      </c>
      <c r="N79" s="541">
        <v>-484025.98660976981</v>
      </c>
      <c r="O79" s="541">
        <v>-455667.85197583633</v>
      </c>
      <c r="P79" s="541">
        <v>-425185.98752664123</v>
      </c>
      <c r="Q79" s="541">
        <v>-393486.99357723846</v>
      </c>
      <c r="R79" s="541">
        <v>-328715.06273061951</v>
      </c>
      <c r="S79" s="541">
        <v>-176703.47735926168</v>
      </c>
      <c r="T79" s="541"/>
      <c r="U79" s="541">
        <v>-11881.022647536076</v>
      </c>
      <c r="V79" s="541">
        <f t="shared" ref="V79:AG79" si="41">SUM(V75:V78)</f>
        <v>-11890.918517667358</v>
      </c>
      <c r="W79" s="541">
        <f t="shared" si="41"/>
        <v>-11900.827616432081</v>
      </c>
      <c r="X79" s="541">
        <f t="shared" si="41"/>
        <v>-11910.744972779108</v>
      </c>
      <c r="Y79" s="541">
        <f t="shared" si="41"/>
        <v>-11920.670593589757</v>
      </c>
      <c r="Z79" s="541">
        <f t="shared" si="41"/>
        <v>-11930.604485751082</v>
      </c>
      <c r="AA79" s="541">
        <f t="shared" si="41"/>
        <v>-11940.546656155875</v>
      </c>
      <c r="AB79" s="541">
        <f t="shared" si="41"/>
        <v>-11950.497111702673</v>
      </c>
      <c r="AC79" s="541">
        <f t="shared" si="41"/>
        <v>-11960.455859295758</v>
      </c>
      <c r="AD79" s="541">
        <f t="shared" si="41"/>
        <v>-11970.422905845171</v>
      </c>
      <c r="AE79" s="541">
        <f t="shared" si="41"/>
        <v>-11980.398258266709</v>
      </c>
      <c r="AF79" s="541">
        <f t="shared" si="41"/>
        <v>-11990.381923481931</v>
      </c>
      <c r="AG79" s="541">
        <f t="shared" si="41"/>
        <v>-12000.373908418165</v>
      </c>
      <c r="AI79" s="153" t="s">
        <v>312</v>
      </c>
      <c r="AJ79" s="209">
        <v>191015</v>
      </c>
      <c r="AK79" s="7" t="s">
        <v>288</v>
      </c>
      <c r="AL79" s="7" t="s">
        <v>291</v>
      </c>
      <c r="AM79" s="472">
        <f>IF((SUMIF(V73:AG73,AI76,V76:AG76)+SUMIF(V73:AG73,AI76,V77:AG77))&gt;0,(SUMIF(V73:AG73,AI76,V76:AG76)+SUMIF(V73:AG73,AI76,V77:AG77)),0)</f>
        <v>0</v>
      </c>
      <c r="AN79" s="462">
        <f>IF((SUMIF(V73:AG73,AI76,V76:AG76)+SUMIF(V73:AG73,AI76,V77:AG77))&lt;0,-(SUMIF(V73:AG73,AI76,V76:AG76)+SUMIF(V73:AG73,AI76,V77:AG77)),0)</f>
        <v>0</v>
      </c>
    </row>
    <row r="80" spans="1:53" ht="16" thickTop="1">
      <c r="B80" s="481" t="s">
        <v>260</v>
      </c>
      <c r="E80" s="482" t="e">
        <f ca="1">_xll.Get_Balance(E73,"YTD","USD","Total","A","","001",$A$73,"GD","ID","DL")</f>
        <v>#NAME?</v>
      </c>
      <c r="F80" s="482" t="e">
        <f ca="1">_xll.Get_Balance(F73,"YTD","USD","Total","A","","001",$A$73,"GD","ID","DL")</f>
        <v>#NAME?</v>
      </c>
      <c r="G80" s="482" t="e">
        <f ca="1">_xll.Get_Balance(G73,"YTD","USD","Total","A","","001",$A$73,"GD","ID","DL")</f>
        <v>#NAME?</v>
      </c>
      <c r="H80" s="482" t="e">
        <f ca="1">_xll.Get_Balance(H73,"YTD","USD","Total","A","","001",$A$73,"GD","ID","DL")</f>
        <v>#NAME?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U80" s="482">
        <v>-11881.74</v>
      </c>
      <c r="V80" s="482" t="e">
        <f ca="1">_xll.Get_Balance(V73,"YTD","USD","Total","A","","001",$A$73,"GD","ID","DL")</f>
        <v>#NAME?</v>
      </c>
      <c r="W80" s="482" t="e">
        <f ca="1">_xll.Get_Balance(W73,"YTD","USD","Total","A","","001",$A$73,"GD","ID","DL")</f>
        <v>#NAME?</v>
      </c>
      <c r="X80" s="482" t="e">
        <f ca="1">_xll.Get_Balance(X73,"YTD","USD","Total","A","","001",$A$73,"GD","ID","DL")</f>
        <v>#NAME?</v>
      </c>
      <c r="Y80" s="482" t="e">
        <f ca="1">_xll.Get_Balance(Y73,"YTD","USD","Total","A","","001",$A$73,"GD","ID","DL")</f>
        <v>#NAME?</v>
      </c>
      <c r="Z80" s="482" t="e">
        <f ca="1">_xll.Get_Balance(Z73,"YTD","USD","Total","A","","001",$A$73,"GD","ID","DL")</f>
        <v>#NAME?</v>
      </c>
      <c r="AA80" s="482" t="e">
        <f ca="1">_xll.Get_Balance(AA73,"YTD","USD","Total","A","","001",$A$73,"GD","ID","DL")</f>
        <v>#NAME?</v>
      </c>
      <c r="AB80" s="482" t="e">
        <f ca="1">_xll.Get_Balance(AB73,"YTD","USD","Total","A","","001",$A$73,"GD","ID","DL")</f>
        <v>#NAME?</v>
      </c>
      <c r="AC80" s="482" t="e">
        <f ca="1">_xll.Get_Balance(AC73,"YTD","USD","Total","A","","001",$A$73,"GD","ID","DL")</f>
        <v>#NAME?</v>
      </c>
      <c r="AD80" s="482" t="e">
        <f ca="1">_xll.Get_Balance(AD73,"YTD","USD","Total","A","","001",$A$73,"GD","ID","DL")</f>
        <v>#NAME?</v>
      </c>
      <c r="AE80" s="482" t="e">
        <f ca="1">_xll.Get_Balance(AE73,"YTD","USD","Total","A","","001",$A$73,"GD","ID","DL")</f>
        <v>#NAME?</v>
      </c>
      <c r="AF80" s="482" t="e">
        <f ca="1">_xll.Get_Balance(AF73,"YTD","USD","Total","A","","001",$A$73,"GD","ID","DL")</f>
        <v>#NAME?</v>
      </c>
      <c r="AG80" s="482" t="e">
        <f ca="1">_xll.Get_Balance(AG73,"YTD","USD","Total","A","","001",$A$73,"GD","ID","DL")</f>
        <v>#NAME?</v>
      </c>
      <c r="AI80" s="499" t="s">
        <v>313</v>
      </c>
      <c r="AJ80" s="528">
        <v>805111</v>
      </c>
      <c r="AK80" s="358" t="s">
        <v>288</v>
      </c>
      <c r="AL80" s="358" t="s">
        <v>291</v>
      </c>
      <c r="AM80" s="381">
        <f>IF((SUMIF(V73:AG73,AI76,V76:AG76))&lt;0,-(SUMIF(V73:AG73,AI76,V76:AG76)),0)</f>
        <v>0</v>
      </c>
      <c r="AN80" s="500">
        <f>IF((SUMIF(V73:AG73,AI76,V76:AG76))&gt;0,(SUMIF(V73:AG73,AI76,V76:AG76)),0)</f>
        <v>0</v>
      </c>
    </row>
    <row r="81" spans="2:40">
      <c r="B81" s="481" t="s">
        <v>245</v>
      </c>
      <c r="E81" s="482" t="e">
        <f t="shared" ref="E81:H81" ca="1" si="42">E79-E80</f>
        <v>#NAME?</v>
      </c>
      <c r="F81" s="482" t="e">
        <f t="shared" ca="1" si="42"/>
        <v>#NAME?</v>
      </c>
      <c r="G81" s="482" t="e">
        <f t="shared" ca="1" si="42"/>
        <v>#NAME?</v>
      </c>
      <c r="H81" s="482" t="e">
        <f t="shared" ca="1" si="42"/>
        <v>#NAME?</v>
      </c>
      <c r="I81" s="482">
        <v>0.70580016879830509</v>
      </c>
      <c r="J81" s="482">
        <v>0.70564770232886076</v>
      </c>
      <c r="K81" s="482">
        <v>0.70393547543790191</v>
      </c>
      <c r="L81" s="482">
        <v>0.69908884668257087</v>
      </c>
      <c r="M81" s="482">
        <v>0.701621345768217</v>
      </c>
      <c r="N81" s="482">
        <v>0.70339023019187152</v>
      </c>
      <c r="O81" s="482">
        <v>0.70802416367223486</v>
      </c>
      <c r="P81" s="482">
        <v>0.7124733587843366</v>
      </c>
      <c r="Q81" s="482">
        <v>0.71642276155762374</v>
      </c>
      <c r="R81" s="482">
        <v>0.71726938051870093</v>
      </c>
      <c r="S81" s="482">
        <v>0.71264073831844144</v>
      </c>
      <c r="U81" s="482">
        <v>0.71735246392381669</v>
      </c>
      <c r="V81" s="482" t="e">
        <f t="shared" ref="V81:AG81" ca="1" si="43">V79-V80</f>
        <v>#NAME?</v>
      </c>
      <c r="W81" s="482" t="e">
        <f t="shared" ca="1" si="43"/>
        <v>#NAME?</v>
      </c>
      <c r="X81" s="482" t="e">
        <f t="shared" ca="1" si="43"/>
        <v>#NAME?</v>
      </c>
      <c r="Y81" s="482" t="e">
        <f t="shared" ca="1" si="43"/>
        <v>#NAME?</v>
      </c>
      <c r="Z81" s="482" t="e">
        <f t="shared" ca="1" si="43"/>
        <v>#NAME?</v>
      </c>
      <c r="AA81" s="482" t="e">
        <f t="shared" ca="1" si="43"/>
        <v>#NAME?</v>
      </c>
      <c r="AB81" s="482" t="e">
        <f t="shared" ca="1" si="43"/>
        <v>#NAME?</v>
      </c>
      <c r="AC81" s="482" t="e">
        <f t="shared" ca="1" si="43"/>
        <v>#NAME?</v>
      </c>
      <c r="AD81" s="482" t="e">
        <f t="shared" ca="1" si="43"/>
        <v>#NAME?</v>
      </c>
      <c r="AE81" s="482" t="e">
        <f t="shared" ca="1" si="43"/>
        <v>#NAME?</v>
      </c>
      <c r="AF81" s="482" t="e">
        <f t="shared" ca="1" si="43"/>
        <v>#NAME?</v>
      </c>
      <c r="AG81" s="482" t="e">
        <f t="shared" ca="1" si="43"/>
        <v>#NAME?</v>
      </c>
      <c r="AI81" s="499" t="s">
        <v>332</v>
      </c>
      <c r="AJ81" s="528">
        <v>191015</v>
      </c>
      <c r="AK81" s="358" t="s">
        <v>288</v>
      </c>
      <c r="AL81" s="358" t="s">
        <v>291</v>
      </c>
      <c r="AM81" s="381">
        <v>0</v>
      </c>
      <c r="AN81" s="500">
        <v>0</v>
      </c>
    </row>
    <row r="82" spans="2:40" ht="16" thickBot="1">
      <c r="AI82" s="501" t="s">
        <v>332</v>
      </c>
      <c r="AJ82" s="529">
        <v>431600</v>
      </c>
      <c r="AK82" s="502" t="s">
        <v>288</v>
      </c>
      <c r="AL82" s="502" t="s">
        <v>291</v>
      </c>
      <c r="AM82" s="464">
        <v>0</v>
      </c>
      <c r="AN82" s="521">
        <v>0</v>
      </c>
    </row>
    <row r="83" spans="2:40" ht="16" thickBot="1">
      <c r="AI83" s="516"/>
      <c r="AJ83" s="530"/>
      <c r="AK83" s="517"/>
      <c r="AL83" s="517"/>
      <c r="AM83" s="517" t="s">
        <v>159</v>
      </c>
      <c r="AN83" s="518">
        <f>SUM(AM77:AM82)-SUM(AN77:AN82)</f>
        <v>0</v>
      </c>
    </row>
    <row r="86" spans="2:40">
      <c r="AI86" s="707" t="s">
        <v>331</v>
      </c>
      <c r="AJ86" s="708"/>
      <c r="AK86" s="708"/>
      <c r="AL86" s="708"/>
      <c r="AM86" s="708"/>
      <c r="AN86" s="708"/>
    </row>
    <row r="87" spans="2:40">
      <c r="AI87" s="708"/>
      <c r="AJ87" s="708"/>
      <c r="AK87" s="708"/>
      <c r="AL87" s="708"/>
      <c r="AM87" s="708"/>
      <c r="AN87" s="708"/>
    </row>
    <row r="88" spans="2:40">
      <c r="AI88" s="708"/>
      <c r="AJ88" s="708"/>
      <c r="AK88" s="708"/>
      <c r="AL88" s="708"/>
      <c r="AM88" s="708"/>
      <c r="AN88" s="708"/>
    </row>
    <row r="89" spans="2:40">
      <c r="AI89" s="708"/>
      <c r="AJ89" s="708"/>
      <c r="AK89" s="708"/>
      <c r="AL89" s="708"/>
      <c r="AM89" s="708"/>
      <c r="AN89" s="708"/>
    </row>
    <row r="90" spans="2:40">
      <c r="AI90" s="708"/>
      <c r="AJ90" s="708"/>
      <c r="AK90" s="708"/>
      <c r="AL90" s="708"/>
      <c r="AM90" s="708"/>
      <c r="AN90" s="708"/>
    </row>
    <row r="91" spans="2:40">
      <c r="M91" s="482">
        <v>13246436.58</v>
      </c>
      <c r="Z91" s="482" t="e">
        <f ca="1">_xll.GLW_Get_Balance("201409","YTD","USD","Total","A",,"001","808100","%","%","DL")</f>
        <v>#NAME?</v>
      </c>
      <c r="AI91" s="708"/>
      <c r="AJ91" s="708"/>
      <c r="AK91" s="708"/>
      <c r="AL91" s="708"/>
      <c r="AM91" s="708"/>
      <c r="AN91" s="708"/>
    </row>
    <row r="92" spans="2:40">
      <c r="AI92" s="570" t="s">
        <v>308</v>
      </c>
      <c r="AJ92" s="571">
        <v>419600</v>
      </c>
      <c r="AK92" s="572" t="s">
        <v>288</v>
      </c>
      <c r="AL92" s="572" t="s">
        <v>291</v>
      </c>
      <c r="AM92" s="573"/>
      <c r="AN92" s="574">
        <v>63.29</v>
      </c>
    </row>
    <row r="93" spans="2:40">
      <c r="AI93" s="575" t="s">
        <v>312</v>
      </c>
      <c r="AJ93" s="209">
        <v>191015</v>
      </c>
      <c r="AK93" s="7" t="s">
        <v>288</v>
      </c>
      <c r="AL93" s="7" t="s">
        <v>291</v>
      </c>
      <c r="AM93" s="576">
        <v>175730.52</v>
      </c>
      <c r="AN93" s="577"/>
    </row>
    <row r="94" spans="2:40">
      <c r="AI94" s="578" t="s">
        <v>313</v>
      </c>
      <c r="AJ94" s="579">
        <v>805111</v>
      </c>
      <c r="AK94" s="580" t="s">
        <v>288</v>
      </c>
      <c r="AL94" s="580" t="s">
        <v>291</v>
      </c>
      <c r="AM94" s="581"/>
      <c r="AN94" s="582">
        <v>175667.22</v>
      </c>
    </row>
  </sheetData>
  <mergeCells count="11">
    <mergeCell ref="AI69:AN74"/>
    <mergeCell ref="AI86:AN91"/>
    <mergeCell ref="AJ13:AK13"/>
    <mergeCell ref="AT2:AU2"/>
    <mergeCell ref="AT40:AU40"/>
    <mergeCell ref="AT1:AU1"/>
    <mergeCell ref="AW1:AX1"/>
    <mergeCell ref="AZ1:BA1"/>
    <mergeCell ref="AT39:AU39"/>
    <mergeCell ref="AW39:AX39"/>
    <mergeCell ref="AZ39:BA39"/>
  </mergeCells>
  <conditionalFormatting sqref="E28 V61 V28:W28">
    <cfRule type="cellIs" dxfId="269" priority="26" operator="notEqual">
      <formula>E27</formula>
    </cfRule>
  </conditionalFormatting>
  <conditionalFormatting sqref="F28">
    <cfRule type="cellIs" dxfId="268" priority="25" operator="notEqual">
      <formula>F27</formula>
    </cfRule>
  </conditionalFormatting>
  <conditionalFormatting sqref="G28">
    <cfRule type="cellIs" dxfId="267" priority="24" operator="notEqual">
      <formula>G27</formula>
    </cfRule>
  </conditionalFormatting>
  <conditionalFormatting sqref="H28">
    <cfRule type="cellIs" dxfId="266" priority="23" operator="notEqual">
      <formula>H27</formula>
    </cfRule>
  </conditionalFormatting>
  <conditionalFormatting sqref="C28">
    <cfRule type="cellIs" dxfId="265" priority="22" operator="notEqual">
      <formula>C27</formula>
    </cfRule>
  </conditionalFormatting>
  <conditionalFormatting sqref="F61">
    <cfRule type="cellIs" dxfId="264" priority="21" operator="notEqual">
      <formula>F60</formula>
    </cfRule>
  </conditionalFormatting>
  <conditionalFormatting sqref="G61">
    <cfRule type="cellIs" dxfId="263" priority="20" operator="notEqual">
      <formula>G60</formula>
    </cfRule>
  </conditionalFormatting>
  <conditionalFormatting sqref="H61">
    <cfRule type="cellIs" dxfId="262" priority="19" operator="notEqual">
      <formula>H60</formula>
    </cfRule>
  </conditionalFormatting>
  <conditionalFormatting sqref="C61">
    <cfRule type="cellIs" dxfId="261" priority="18" operator="notEqual">
      <formula>C60</formula>
    </cfRule>
  </conditionalFormatting>
  <conditionalFormatting sqref="I61">
    <cfRule type="cellIs" dxfId="260" priority="17" operator="notEqual">
      <formula>I60</formula>
    </cfRule>
  </conditionalFormatting>
  <conditionalFormatting sqref="AN83 AN50 AN11">
    <cfRule type="cellIs" dxfId="259" priority="16" operator="notEqual">
      <formula>0</formula>
    </cfRule>
  </conditionalFormatting>
  <conditionalFormatting sqref="I28">
    <cfRule type="cellIs" dxfId="258" priority="15" operator="notEqual">
      <formula>I27</formula>
    </cfRule>
  </conditionalFormatting>
  <conditionalFormatting sqref="J28">
    <cfRule type="cellIs" dxfId="257" priority="14" operator="notEqual">
      <formula>J27</formula>
    </cfRule>
  </conditionalFormatting>
  <conditionalFormatting sqref="J61">
    <cfRule type="cellIs" dxfId="256" priority="13" operator="notEqual">
      <formula>J60</formula>
    </cfRule>
  </conditionalFormatting>
  <conditionalFormatting sqref="K28">
    <cfRule type="cellIs" dxfId="255" priority="12" operator="notEqual">
      <formula>K27</formula>
    </cfRule>
  </conditionalFormatting>
  <conditionalFormatting sqref="K61">
    <cfRule type="cellIs" dxfId="254" priority="11" operator="notEqual">
      <formula>K60</formula>
    </cfRule>
  </conditionalFormatting>
  <conditionalFormatting sqref="L28:M28">
    <cfRule type="cellIs" dxfId="253" priority="10" operator="notEqual">
      <formula>L27</formula>
    </cfRule>
  </conditionalFormatting>
  <conditionalFormatting sqref="N28">
    <cfRule type="cellIs" dxfId="252" priority="9" operator="notEqual">
      <formula>N27</formula>
    </cfRule>
  </conditionalFormatting>
  <conditionalFormatting sqref="W28">
    <cfRule type="cellIs" dxfId="251" priority="6" operator="notEqual">
      <formula>W27</formula>
    </cfRule>
  </conditionalFormatting>
  <conditionalFormatting sqref="W61">
    <cfRule type="cellIs" dxfId="250" priority="5" operator="notEqual">
      <formula>W60</formula>
    </cfRule>
  </conditionalFormatting>
  <conditionalFormatting sqref="X28">
    <cfRule type="cellIs" dxfId="249" priority="4" operator="notEqual">
      <formula>X27</formula>
    </cfRule>
  </conditionalFormatting>
  <conditionalFormatting sqref="X61">
    <cfRule type="cellIs" dxfId="248" priority="3" operator="notEqual">
      <formula>X60</formula>
    </cfRule>
  </conditionalFormatting>
  <conditionalFormatting sqref="Y28:Z28">
    <cfRule type="cellIs" dxfId="247" priority="2" operator="notEqual">
      <formula>Y27</formula>
    </cfRule>
  </conditionalFormatting>
  <conditionalFormatting sqref="AA28">
    <cfRule type="cellIs" dxfId="246" priority="1" operator="notEqual">
      <formula>AA27</formula>
    </cfRule>
  </conditionalFormatting>
  <pageMargins left="0.7" right="0.7" top="0.75" bottom="0.75" header="0.3" footer="0.3"/>
  <pageSetup scale="80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>
    <tabColor theme="8" tint="0.59999389629810485"/>
    <pageSetUpPr fitToPage="1"/>
  </sheetPr>
  <dimension ref="A1:AO92"/>
  <sheetViews>
    <sheetView zoomScale="89" zoomScaleNormal="89" zoomScaleSheetLayoutView="85" workbookViewId="0">
      <selection activeCell="S46" activeCellId="2" sqref="X46 T46 S46"/>
    </sheetView>
  </sheetViews>
  <sheetFormatPr defaultColWidth="9.09765625" defaultRowHeight="15.5"/>
  <cols>
    <col min="1" max="1" width="16.69921875" style="482" customWidth="1"/>
    <col min="2" max="2" width="25.296875" style="481" bestFit="1" customWidth="1"/>
    <col min="3" max="3" width="16.296875" style="482" bestFit="1" customWidth="1"/>
    <col min="4" max="4" width="16.09765625" style="482" customWidth="1"/>
    <col min="5" max="6" width="16.3984375" style="482" hidden="1" customWidth="1"/>
    <col min="7" max="7" width="16.296875" style="482" hidden="1" customWidth="1"/>
    <col min="8" max="9" width="18.3984375" style="482" hidden="1" customWidth="1"/>
    <col min="10" max="12" width="16.296875" style="482" hidden="1" customWidth="1"/>
    <col min="13" max="13" width="16.8984375" style="482" hidden="1" customWidth="1"/>
    <col min="14" max="18" width="16.296875" style="482" hidden="1" customWidth="1"/>
    <col min="19" max="20" width="16.296875" style="482" customWidth="1"/>
    <col min="21" max="21" width="18.3984375" style="482" customWidth="1"/>
    <col min="22" max="23" width="16.296875" style="482" customWidth="1"/>
    <col min="24" max="24" width="20.296875" style="482" bestFit="1" customWidth="1"/>
    <col min="25" max="25" width="16.296875" style="482" customWidth="1"/>
    <col min="26" max="26" width="16.296875" style="482" hidden="1" customWidth="1"/>
    <col min="27" max="27" width="16.8984375" style="482" hidden="1" customWidth="1"/>
    <col min="28" max="34" width="16.296875" style="482" hidden="1" customWidth="1"/>
    <col min="35" max="35" width="1.59765625" style="482" customWidth="1"/>
    <col min="36" max="36" width="36.296875" style="482" bestFit="1" customWidth="1"/>
    <col min="37" max="37" width="15.59765625" style="525" bestFit="1" customWidth="1"/>
    <col min="38" max="38" width="4.69921875" style="482" bestFit="1" customWidth="1"/>
    <col min="39" max="39" width="3.3984375" style="482" bestFit="1" customWidth="1"/>
    <col min="40" max="41" width="17.09765625" style="482" bestFit="1" customWidth="1"/>
    <col min="42" max="42" width="0.59765625" style="482" customWidth="1"/>
    <col min="43" max="16384" width="9.09765625" style="482"/>
  </cols>
  <sheetData>
    <row r="1" spans="1:41">
      <c r="A1" s="480" t="s">
        <v>265</v>
      </c>
      <c r="V1" s="584"/>
      <c r="W1" s="584"/>
      <c r="X1" s="584"/>
      <c r="AJ1" s="480" t="s">
        <v>315</v>
      </c>
    </row>
    <row r="2" spans="1:41">
      <c r="A2" s="483" t="s">
        <v>267</v>
      </c>
      <c r="U2" s="583" t="s">
        <v>330</v>
      </c>
      <c r="V2" s="585" t="s">
        <v>335</v>
      </c>
      <c r="W2" s="585" t="s">
        <v>333</v>
      </c>
      <c r="X2" s="585" t="s">
        <v>334</v>
      </c>
    </row>
    <row r="3" spans="1:41" s="483" customFormat="1" ht="31.5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586">
        <f t="shared" ref="V3:AH3" si="0">U3+1</f>
        <v>201502</v>
      </c>
      <c r="W3" s="586">
        <v>201502</v>
      </c>
      <c r="X3" s="592">
        <v>201503</v>
      </c>
      <c r="Y3" s="484">
        <f>V3+1</f>
        <v>201503</v>
      </c>
      <c r="Z3" s="484">
        <f t="shared" si="0"/>
        <v>201504</v>
      </c>
      <c r="AA3" s="484">
        <f t="shared" si="0"/>
        <v>201505</v>
      </c>
      <c r="AB3" s="484">
        <f t="shared" si="0"/>
        <v>201506</v>
      </c>
      <c r="AC3" s="484">
        <f t="shared" si="0"/>
        <v>201507</v>
      </c>
      <c r="AD3" s="484">
        <f t="shared" si="0"/>
        <v>201508</v>
      </c>
      <c r="AE3" s="484">
        <f t="shared" si="0"/>
        <v>201509</v>
      </c>
      <c r="AF3" s="484">
        <f t="shared" si="0"/>
        <v>201510</v>
      </c>
      <c r="AG3" s="484">
        <f t="shared" si="0"/>
        <v>201511</v>
      </c>
      <c r="AH3" s="484">
        <f t="shared" si="0"/>
        <v>201512</v>
      </c>
      <c r="AK3" s="484"/>
    </row>
    <row r="4" spans="1:41" s="483" customFormat="1" ht="16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587">
        <v>0.01</v>
      </c>
      <c r="W4" s="587">
        <v>0.01</v>
      </c>
      <c r="X4" s="587"/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J4" s="544">
        <v>201502</v>
      </c>
      <c r="AK4" s="599" t="s">
        <v>336</v>
      </c>
      <c r="AL4" s="514"/>
      <c r="AM4" s="514"/>
      <c r="AN4" s="514"/>
      <c r="AO4" s="515"/>
    </row>
    <row r="5" spans="1:41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v>312448.94088100048</v>
      </c>
      <c r="U5" s="482">
        <f>T13</f>
        <v>-411904.75797999633</v>
      </c>
      <c r="V5" s="588">
        <v>-715131.57581999747</v>
      </c>
      <c r="W5" s="588">
        <f>U13</f>
        <v>-645308.89581999741</v>
      </c>
      <c r="X5" s="588">
        <v>0</v>
      </c>
      <c r="Y5" s="482">
        <f>W13</f>
        <v>-754779.40375499823</v>
      </c>
      <c r="Z5" s="482">
        <f t="shared" ref="Z5:AH5" si="1">Y13</f>
        <v>-287478.00151999673</v>
      </c>
      <c r="AA5" s="482">
        <f t="shared" si="1"/>
        <v>-1224458.2730279975</v>
      </c>
      <c r="AB5" s="482">
        <f t="shared" si="1"/>
        <v>-1390398.8925299973</v>
      </c>
      <c r="AC5" s="482">
        <f t="shared" si="1"/>
        <v>-1678829.3790599983</v>
      </c>
      <c r="AD5" s="482">
        <f t="shared" si="1"/>
        <v>-2022589.7020719973</v>
      </c>
      <c r="AE5" s="482">
        <f t="shared" si="1"/>
        <v>-2419050.9103219965</v>
      </c>
      <c r="AF5" s="482">
        <f t="shared" si="1"/>
        <v>-3067220.0433299979</v>
      </c>
      <c r="AG5" s="482">
        <f t="shared" si="1"/>
        <v>-3722571.9986849981</v>
      </c>
      <c r="AH5" s="482">
        <f t="shared" si="1"/>
        <v>-4364573.9224949982</v>
      </c>
      <c r="AJ5" s="497" t="s">
        <v>304</v>
      </c>
      <c r="AK5" s="527">
        <v>419600</v>
      </c>
      <c r="AL5" s="498" t="s">
        <v>288</v>
      </c>
      <c r="AM5" s="498" t="s">
        <v>291</v>
      </c>
      <c r="AN5" s="519">
        <v>0</v>
      </c>
      <c r="AO5" s="520">
        <v>58.18</v>
      </c>
    </row>
    <row r="6" spans="1:41">
      <c r="B6" s="481" t="s">
        <v>254</v>
      </c>
      <c r="C6" s="482">
        <f>SUM(U6:AH6)</f>
        <v>-5056717.7079139985</v>
      </c>
      <c r="D6" s="482">
        <f>-1369125.49+SUM(E6:N6,E9:T9)</f>
        <v>-2.14532227255404E-3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f>Jan!$J$53</f>
        <v>331968.15844599903</v>
      </c>
      <c r="V6" s="588">
        <f>Feb!$J$53</f>
        <v>0</v>
      </c>
      <c r="W6" s="588">
        <v>96375.796815998852</v>
      </c>
      <c r="X6" s="588">
        <f>V6-W6</f>
        <v>-96375.796815998852</v>
      </c>
      <c r="Y6" s="482">
        <f>Mar!$J$53</f>
        <v>547802.71264300169</v>
      </c>
      <c r="Z6" s="482">
        <f>Apr!$J$53</f>
        <v>-1029654.8148680007</v>
      </c>
      <c r="AA6" s="482">
        <f>May!$J$53</f>
        <v>-494908.28808599967</v>
      </c>
      <c r="AB6" s="482">
        <f>Jun!$J$53</f>
        <v>-803843.28933000052</v>
      </c>
      <c r="AC6" s="482">
        <f>Jul!$J$53</f>
        <v>-778841.02357199905</v>
      </c>
      <c r="AD6" s="482">
        <f>Aug!$J$53</f>
        <v>-816009.11660199915</v>
      </c>
      <c r="AE6" s="482">
        <f>Sep!$J$53</f>
        <v>-995450.54456800083</v>
      </c>
      <c r="AF6" s="482">
        <f>Oct!$J$55</f>
        <v>-911936.74747700011</v>
      </c>
      <c r="AG6" s="482">
        <f>Nov!$J$55</f>
        <v>-105844.75449999981</v>
      </c>
      <c r="AH6" s="482">
        <f>Dec!$J$53</f>
        <v>0</v>
      </c>
      <c r="AJ6" s="499" t="s">
        <v>305</v>
      </c>
      <c r="AK6" s="528">
        <v>431600</v>
      </c>
      <c r="AL6" s="358" t="s">
        <v>288</v>
      </c>
      <c r="AM6" s="358" t="s">
        <v>291</v>
      </c>
      <c r="AN6" s="381">
        <v>0</v>
      </c>
      <c r="AO6" s="500">
        <v>0</v>
      </c>
    </row>
    <row r="7" spans="1:41">
      <c r="B7" s="481" t="s">
        <v>255</v>
      </c>
      <c r="C7" s="482">
        <f t="shared" ref="C7:C11" si="2">SUM(U7:AH7)</f>
        <v>748943.26183199952</v>
      </c>
      <c r="D7" s="482">
        <f>1867859.17+SUM(E7:N7,E10:T10)</f>
        <v>-1.7596203833818436E-3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f>Jan!$K$53</f>
        <v>-634725.57628600008</v>
      </c>
      <c r="V7" s="588">
        <f>Feb!$K$53</f>
        <v>-205263.17475099966</v>
      </c>
      <c r="W7" s="588">
        <v>-205263.17475099966</v>
      </c>
      <c r="X7" s="588">
        <f>V7-W7</f>
        <v>0</v>
      </c>
      <c r="Y7" s="482">
        <f>Mar!$K$53</f>
        <v>-80067.220408000168</v>
      </c>
      <c r="Z7" s="482">
        <f>Apr!$K$53</f>
        <v>93304.253359999973</v>
      </c>
      <c r="AA7" s="482">
        <f>May!$K$53</f>
        <v>330056.73858399986</v>
      </c>
      <c r="AB7" s="482">
        <f>Jun!$K$53</f>
        <v>516691.11279999983</v>
      </c>
      <c r="AC7" s="482">
        <f>Jul!$K$53</f>
        <v>436622.32056000002</v>
      </c>
      <c r="AD7" s="482">
        <f>Aug!$K$53</f>
        <v>421397.81835199991</v>
      </c>
      <c r="AE7" s="482">
        <f>Sep!$K$53</f>
        <v>349566.40155999974</v>
      </c>
      <c r="AF7" s="482">
        <f>Oct!$K$55</f>
        <v>259412.69212199986</v>
      </c>
      <c r="AG7" s="563">
        <f>Nov!$K$55</f>
        <v>-532788.92931000004</v>
      </c>
      <c r="AH7" s="482">
        <f>Dec!$K$53</f>
        <v>0</v>
      </c>
      <c r="AJ7" s="499" t="s">
        <v>306</v>
      </c>
      <c r="AK7" s="528">
        <v>191010</v>
      </c>
      <c r="AL7" s="358" t="s">
        <v>288</v>
      </c>
      <c r="AM7" s="358" t="s">
        <v>291</v>
      </c>
      <c r="AN7" s="381">
        <v>58.18</v>
      </c>
      <c r="AO7" s="500">
        <v>0</v>
      </c>
    </row>
    <row r="8" spans="1:41">
      <c r="B8" s="481" t="s">
        <v>258</v>
      </c>
      <c r="C8" s="482">
        <f t="shared" si="2"/>
        <v>-20576.68</v>
      </c>
      <c r="D8" s="482">
        <f>-7356.73+SUM(E8:N8,E11:T11)</f>
        <v>0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f>ROUND(((U5+U9+U10+U11)*(U4/12))+((SUM(U6:U7)/2)*(U4/12)),2)</f>
        <v>-469.44</v>
      </c>
      <c r="V8" s="589">
        <f>ROUND(((V5+V9+V10+V11)*(V4/12))+((SUM(V6:V7)/2)*(V4/12)),2)</f>
        <v>-681.47</v>
      </c>
      <c r="W8" s="589">
        <f>ROUND(((W5+W9+W10+W11)*(W4/12))+((SUM(W6:W7)/2)*(W4/12)),2)</f>
        <v>-583.13</v>
      </c>
      <c r="X8" s="589">
        <f>W8-V8</f>
        <v>98.340000000000032</v>
      </c>
      <c r="Y8" s="489">
        <f t="shared" ref="Y8:AE8" si="3">ROUND(((Y5+Y9+Y10+Y11)*(Y4/12))+((SUM(Y6:Y7)/2)*(Y4/12)),2)</f>
        <v>-434.09</v>
      </c>
      <c r="Z8" s="489">
        <f t="shared" si="3"/>
        <v>-629.71</v>
      </c>
      <c r="AA8" s="489">
        <f t="shared" si="3"/>
        <v>-1089.07</v>
      </c>
      <c r="AB8" s="489">
        <f t="shared" si="3"/>
        <v>-1278.31</v>
      </c>
      <c r="AC8" s="489">
        <f t="shared" si="3"/>
        <v>-1541.62</v>
      </c>
      <c r="AD8" s="489">
        <f t="shared" si="3"/>
        <v>-1849.91</v>
      </c>
      <c r="AE8" s="489">
        <f t="shared" si="3"/>
        <v>-2284.9899999999998</v>
      </c>
      <c r="AF8" s="489">
        <f>ROUND(((AF5+AF9+AF10+AF11)*(AF4/12))+((SUM(AF6:AF7)/2)*(AF4/12)),2)</f>
        <v>-2827.9</v>
      </c>
      <c r="AG8" s="482">
        <f>ROUND(((AG5+AG9+AG10+AG11)*(AG4/12))+((SUM(AG6:AG7)/2)*(AG4/12)),2)</f>
        <v>-3368.24</v>
      </c>
      <c r="AH8" s="489">
        <f>ROUND(((AH5+AH9+AH10+AH11)*(AH4/12))+((SUM(AH6:AH7)/2)*(AH4/12)),2)</f>
        <v>-3637.14</v>
      </c>
      <c r="AJ8" s="499" t="s">
        <v>307</v>
      </c>
      <c r="AK8" s="528">
        <v>805120</v>
      </c>
      <c r="AL8" s="358" t="s">
        <v>288</v>
      </c>
      <c r="AM8" s="358" t="s">
        <v>291</v>
      </c>
      <c r="AN8" s="381">
        <v>0</v>
      </c>
      <c r="AO8" s="500">
        <f>IF((SUMIF(U3:AH3,AJ4,U6:AH6)+SUMIF(U3:AH3,AJ4,U7:AH7))&gt;0,(SUMIF(U3:AH3,AJ4,U6:AH6)+SUMIF(U3:AH3,AJ4,U7:AH7)),0)</f>
        <v>0</v>
      </c>
    </row>
    <row r="9" spans="1:41">
      <c r="B9" s="481" t="s">
        <v>262</v>
      </c>
      <c r="C9" s="482">
        <f t="shared" si="2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588">
        <v>0</v>
      </c>
      <c r="W9" s="588">
        <v>0</v>
      </c>
      <c r="X9" s="588">
        <f>V9-W9</f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482">
        <v>0</v>
      </c>
      <c r="AF9" s="482">
        <v>0</v>
      </c>
      <c r="AH9" s="482">
        <v>0</v>
      </c>
      <c r="AJ9" s="499" t="s">
        <v>11</v>
      </c>
      <c r="AK9" s="528">
        <v>191010</v>
      </c>
      <c r="AL9" s="358" t="s">
        <v>288</v>
      </c>
      <c r="AM9" s="358" t="s">
        <v>291</v>
      </c>
      <c r="AN9" s="381">
        <v>0</v>
      </c>
      <c r="AO9" s="500">
        <v>0</v>
      </c>
    </row>
    <row r="10" spans="1:41" ht="16" thickBot="1">
      <c r="B10" s="481" t="s">
        <v>263</v>
      </c>
      <c r="C10" s="482">
        <f t="shared" si="2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588">
        <v>0</v>
      </c>
      <c r="W10" s="588">
        <v>0</v>
      </c>
      <c r="X10" s="588">
        <f>V10-W10</f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482">
        <v>0</v>
      </c>
      <c r="AF10" s="482">
        <v>0</v>
      </c>
      <c r="AH10" s="482">
        <v>0</v>
      </c>
      <c r="AJ10" s="501" t="str">
        <f>AJ9</f>
        <v>Tracker Transfer</v>
      </c>
      <c r="AK10" s="529">
        <f>AK44</f>
        <v>191000</v>
      </c>
      <c r="AL10" s="529" t="str">
        <f>AL44</f>
        <v>GD</v>
      </c>
      <c r="AM10" s="529" t="str">
        <f>AM44</f>
        <v>ID</v>
      </c>
      <c r="AN10" s="503">
        <v>0</v>
      </c>
      <c r="AO10" s="521">
        <f>AN9</f>
        <v>0</v>
      </c>
    </row>
    <row r="11" spans="1:41" ht="16" thickBot="1">
      <c r="B11" s="481" t="s">
        <v>264</v>
      </c>
      <c r="C11" s="482">
        <f t="shared" si="2"/>
        <v>-49.16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594">
        <v>-49.16</v>
      </c>
      <c r="V11" s="588">
        <v>0</v>
      </c>
      <c r="W11" s="588">
        <v>0</v>
      </c>
      <c r="X11" s="588">
        <f t="shared" ref="X11:X12" si="4">V11-W11</f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482">
        <v>0</v>
      </c>
      <c r="AF11" s="482">
        <v>0</v>
      </c>
      <c r="AH11" s="482">
        <v>0</v>
      </c>
      <c r="AJ11" s="516"/>
      <c r="AK11" s="530"/>
      <c r="AL11" s="517"/>
      <c r="AM11" s="517"/>
      <c r="AN11" s="517" t="s">
        <v>159</v>
      </c>
      <c r="AO11" s="518">
        <f>SUM(AN5:AN10)-SUM(AO5:AO10)</f>
        <v>0</v>
      </c>
    </row>
    <row r="12" spans="1:41">
      <c r="B12" s="481" t="s">
        <v>148</v>
      </c>
      <c r="C12" s="482">
        <f>SUM(U12:AH12)</f>
        <v>69871.88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594">
        <v>69871.88</v>
      </c>
      <c r="V12" s="588">
        <v>0</v>
      </c>
      <c r="W12" s="588">
        <v>0</v>
      </c>
      <c r="X12" s="588">
        <f t="shared" si="4"/>
        <v>0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  <c r="AG12" s="482">
        <v>0</v>
      </c>
      <c r="AH12" s="482">
        <v>0</v>
      </c>
    </row>
    <row r="13" spans="1:41" ht="16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5">SUM(F5:F12)</f>
        <v>-179650.44284699953</v>
      </c>
      <c r="G13" s="541">
        <f t="shared" si="5"/>
        <v>-770749.33284699952</v>
      </c>
      <c r="H13" s="541">
        <f t="shared" si="5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v>312448.94088100048</v>
      </c>
      <c r="T13" s="541">
        <v>-411904.75797999633</v>
      </c>
      <c r="U13" s="541">
        <f t="shared" ref="U13:AH13" si="6">SUM(U5:U12)</f>
        <v>-645308.89581999741</v>
      </c>
      <c r="V13" s="590">
        <f t="shared" si="6"/>
        <v>-921076.2205709971</v>
      </c>
      <c r="W13" s="590">
        <f t="shared" si="6"/>
        <v>-754779.40375499823</v>
      </c>
      <c r="X13" s="593">
        <f>SUM(X5:X12)</f>
        <v>-96277.456815998856</v>
      </c>
      <c r="Y13" s="541">
        <f t="shared" si="6"/>
        <v>-287478.00151999673</v>
      </c>
      <c r="Z13" s="541">
        <f t="shared" si="6"/>
        <v>-1224458.2730279975</v>
      </c>
      <c r="AA13" s="541">
        <f t="shared" si="6"/>
        <v>-1390398.8925299973</v>
      </c>
      <c r="AB13" s="541">
        <f t="shared" si="6"/>
        <v>-1678829.3790599983</v>
      </c>
      <c r="AC13" s="541">
        <f t="shared" si="6"/>
        <v>-2022589.7020719973</v>
      </c>
      <c r="AD13" s="541">
        <f t="shared" si="6"/>
        <v>-2419050.9103219965</v>
      </c>
      <c r="AE13" s="541">
        <f t="shared" si="6"/>
        <v>-3067220.0433299979</v>
      </c>
      <c r="AF13" s="541">
        <f t="shared" si="6"/>
        <v>-3722571.9986849981</v>
      </c>
      <c r="AG13" s="541">
        <f t="shared" si="6"/>
        <v>-4364573.9224949982</v>
      </c>
      <c r="AH13" s="541">
        <f t="shared" si="6"/>
        <v>-4368211.0624949979</v>
      </c>
    </row>
    <row r="14" spans="1:41" ht="16" thickTop="1">
      <c r="B14" s="481" t="s">
        <v>260</v>
      </c>
      <c r="E14" s="482" t="e">
        <f ca="1">_xll.Get_Balance(E3,"YTD","USD","Total","A","","001",$A$3,"GD","ID","DL")</f>
        <v>#NAME?</v>
      </c>
      <c r="F14" s="482" t="e">
        <f ca="1">_xll.Get_Balance(F3,"YTD","USD","Total","A","","001",$A$3,"GD","ID","DL")</f>
        <v>#NAME?</v>
      </c>
      <c r="G14" s="482" t="e">
        <f ca="1">_xll.Get_Balance(G3,"YTD","USD","Total","A","","001",$A$3,"GD","ID","DL")</f>
        <v>#NAME?</v>
      </c>
      <c r="H14" s="482" t="e">
        <f ca="1">_xll.Get_Balance(H3,"YTD","USD","Total","A","","001",$A$3,"GD","ID","DL")</f>
        <v>#NAME?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v>312448.96999999997</v>
      </c>
      <c r="T14" s="482">
        <v>-411904.73</v>
      </c>
      <c r="U14" s="482" t="e">
        <f ca="1">_xll.Get_Balance(U3,"YTD","USD","Total","A","","001",$A$3,"GD","ID","DL")</f>
        <v>#NAME?</v>
      </c>
      <c r="V14" s="588" t="e">
        <f ca="1">_xll.Get_Balance(V3,"YTD","USD","Total","A","","001",$A$3,"GD","ID","DL")</f>
        <v>#NAME?</v>
      </c>
      <c r="W14" s="588" t="e">
        <f ca="1">_xll.Get_Balance(W3,"YTD","USD","Total","A","","001",$A$3,"GD","ID","DL")</f>
        <v>#NAME?</v>
      </c>
      <c r="X14" s="588"/>
      <c r="Y14" s="482" t="e">
        <f ca="1">_xll.Get_Balance(Y3,"YTD","USD","Total","A","","001",$A$3,"GD","ID","DL")</f>
        <v>#NAME?</v>
      </c>
      <c r="Z14" s="482" t="e">
        <f ca="1">_xll.Get_Balance(Z3,"YTD","USD","Total","A","","001",$A$3,"GD","ID","DL")</f>
        <v>#NAME?</v>
      </c>
      <c r="AA14" s="482" t="e">
        <f ca="1">_xll.Get_Balance(AA3,"YTD","USD","Total","A","","001",$A$3,"GD","ID","DL")</f>
        <v>#NAME?</v>
      </c>
      <c r="AB14" s="482" t="e">
        <f ca="1">_xll.Get_Balance(AB3,"YTD","USD","Total","A","","001",$A$3,"GD","ID","DL")</f>
        <v>#NAME?</v>
      </c>
      <c r="AC14" s="482" t="e">
        <f ca="1">_xll.Get_Balance(AC3,"YTD","USD","Total","A","","001",$A$3,"GD","ID","DL")</f>
        <v>#NAME?</v>
      </c>
      <c r="AD14" s="482" t="e">
        <f ca="1">_xll.Get_Balance(AD3,"YTD","USD","Total","A","","001",$A$3,"GD","ID","DL")</f>
        <v>#NAME?</v>
      </c>
      <c r="AE14" s="482" t="e">
        <f ca="1">_xll.Get_Balance(AE3,"YTD","USD","Total","A","","001",$A$3,"GD","ID","DL")</f>
        <v>#NAME?</v>
      </c>
      <c r="AF14" s="482" t="e">
        <f ca="1">_xll.Get_Balance(AF3,"YTD","USD","Total","A","","001",$A$3,"GD","ID","DL")</f>
        <v>#NAME?</v>
      </c>
      <c r="AG14" s="482" t="e">
        <f ca="1">_xll.Get_Balance(AG3,"YTD","USD","Total","A","","001",$A$3,"GD","ID","DL")</f>
        <v>#NAME?</v>
      </c>
      <c r="AH14" s="482" t="e">
        <f ca="1">_xll.Get_Balance(AH3,"YTD","USD","Total","A","","001",$A$3,"GD","ID","DL")</f>
        <v>#NAME?</v>
      </c>
    </row>
    <row r="15" spans="1:41">
      <c r="B15" s="481" t="s">
        <v>245</v>
      </c>
      <c r="E15" s="482" t="e">
        <f t="shared" ref="E15:H15" ca="1" si="7">E13-E14</f>
        <v>#NAME?</v>
      </c>
      <c r="F15" s="482" t="e">
        <f t="shared" ca="1" si="7"/>
        <v>#NAME?</v>
      </c>
      <c r="G15" s="482" t="e">
        <f t="shared" ca="1" si="7"/>
        <v>#NAME?</v>
      </c>
      <c r="H15" s="482" t="e">
        <f t="shared" ca="1" si="7"/>
        <v>#NAME?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v>-2.9118999489583075E-2</v>
      </c>
      <c r="T15" s="482">
        <v>-2.7979996346402913E-2</v>
      </c>
      <c r="U15" s="482" t="e">
        <f ca="1">U13-U14</f>
        <v>#NAME?</v>
      </c>
      <c r="V15" s="591" t="e">
        <f ca="1">V13-V14</f>
        <v>#NAME?</v>
      </c>
      <c r="W15" s="591" t="e">
        <f ca="1">W13-W14</f>
        <v>#NAME?</v>
      </c>
      <c r="X15" s="591"/>
      <c r="Y15" s="482" t="e">
        <f t="shared" ref="Y15:AH15" ca="1" si="8">Y13-Y14</f>
        <v>#NAME?</v>
      </c>
      <c r="Z15" s="482" t="e">
        <f t="shared" ca="1" si="8"/>
        <v>#NAME?</v>
      </c>
      <c r="AA15" s="482" t="e">
        <f t="shared" ca="1" si="8"/>
        <v>#NAME?</v>
      </c>
      <c r="AB15" s="482" t="e">
        <f t="shared" ca="1" si="8"/>
        <v>#NAME?</v>
      </c>
      <c r="AC15" s="482" t="e">
        <f t="shared" ca="1" si="8"/>
        <v>#NAME?</v>
      </c>
      <c r="AD15" s="482" t="e">
        <f t="shared" ca="1" si="8"/>
        <v>#NAME?</v>
      </c>
      <c r="AE15" s="482" t="e">
        <f t="shared" ca="1" si="8"/>
        <v>#NAME?</v>
      </c>
      <c r="AF15" s="482" t="e">
        <f t="shared" ca="1" si="8"/>
        <v>#NAME?</v>
      </c>
      <c r="AG15" s="482" t="e">
        <f t="shared" ca="1" si="8"/>
        <v>#NAME?</v>
      </c>
      <c r="AH15" s="482" t="e">
        <f t="shared" ca="1" si="8"/>
        <v>#NAME?</v>
      </c>
    </row>
    <row r="16" spans="1:41">
      <c r="A16" s="483" t="s">
        <v>271</v>
      </c>
      <c r="U16" s="482" t="s">
        <v>330</v>
      </c>
    </row>
    <row r="17" spans="1:40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K17" s="558"/>
      <c r="AN17" s="482">
        <v>0</v>
      </c>
    </row>
    <row r="18" spans="1:40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H18" si="9">U18+1</f>
        <v>201502</v>
      </c>
      <c r="W18" s="484"/>
      <c r="X18" s="484"/>
      <c r="Y18" s="484">
        <f>V18+1</f>
        <v>201503</v>
      </c>
      <c r="Z18" s="484">
        <f t="shared" si="9"/>
        <v>201504</v>
      </c>
      <c r="AA18" s="484">
        <f t="shared" si="9"/>
        <v>201505</v>
      </c>
      <c r="AB18" s="484">
        <f t="shared" si="9"/>
        <v>201506</v>
      </c>
      <c r="AC18" s="484">
        <f t="shared" si="9"/>
        <v>201507</v>
      </c>
      <c r="AD18" s="484">
        <f t="shared" si="9"/>
        <v>201508</v>
      </c>
      <c r="AE18" s="484">
        <f t="shared" si="9"/>
        <v>201509</v>
      </c>
      <c r="AF18" s="484">
        <f t="shared" si="9"/>
        <v>201510</v>
      </c>
      <c r="AG18" s="484">
        <f t="shared" si="9"/>
        <v>201511</v>
      </c>
      <c r="AH18" s="484">
        <f t="shared" si="9"/>
        <v>201512</v>
      </c>
      <c r="AK18" s="558"/>
    </row>
    <row r="19" spans="1:40">
      <c r="A19" s="483"/>
      <c r="B19" s="481" t="s">
        <v>37</v>
      </c>
      <c r="C19" s="491">
        <f>SUM(U19:AH19)</f>
        <v>39097164</v>
      </c>
      <c r="D19" s="491">
        <f>SUM(F19:Q19)</f>
        <v>56675951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f>Jan!$K36</f>
        <v>8991869</v>
      </c>
      <c r="V19" s="491">
        <f>Feb!$K36</f>
        <v>5607449</v>
      </c>
      <c r="W19" s="491"/>
      <c r="X19" s="491"/>
      <c r="Y19" s="491">
        <f>Mar!$K36</f>
        <v>5090227</v>
      </c>
      <c r="Z19" s="491">
        <f>Apr!$K36</f>
        <v>3621515</v>
      </c>
      <c r="AA19" s="491">
        <f>May!$K36</f>
        <v>1624041</v>
      </c>
      <c r="AB19" s="491">
        <f>Jun!$K36</f>
        <v>985347</v>
      </c>
      <c r="AC19" s="491">
        <f>Jul!$K36</f>
        <v>990038</v>
      </c>
      <c r="AD19" s="491">
        <f>Aug!$K36</f>
        <v>930531</v>
      </c>
      <c r="AE19" s="491">
        <f>Sep!$K36</f>
        <v>1531464</v>
      </c>
      <c r="AF19" s="491">
        <f>Oct!$K36</f>
        <v>2476612</v>
      </c>
      <c r="AG19" s="491">
        <f>Nov!$K36</f>
        <v>7248071</v>
      </c>
      <c r="AH19" s="491">
        <f>Dec!$K36</f>
        <v>0</v>
      </c>
      <c r="AI19" s="491"/>
    </row>
    <row r="20" spans="1:40">
      <c r="A20" s="483"/>
      <c r="B20" s="481" t="s">
        <v>38</v>
      </c>
      <c r="C20" s="491">
        <f t="shared" ref="C20:C24" si="10">SUM(U20:AH20)</f>
        <v>18037646</v>
      </c>
      <c r="D20" s="491">
        <f>SUM(F20:Q20)</f>
        <v>22466066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f>Jan!$K37</f>
        <v>2818068</v>
      </c>
      <c r="V20" s="491">
        <f>Feb!$K37</f>
        <v>2333245</v>
      </c>
      <c r="W20" s="491"/>
      <c r="X20" s="491"/>
      <c r="Y20" s="491">
        <f>Mar!$K37</f>
        <v>1927746</v>
      </c>
      <c r="Z20" s="491">
        <f>Apr!$K37</f>
        <v>1633221</v>
      </c>
      <c r="AA20" s="491">
        <f>May!$K37</f>
        <v>1075904</v>
      </c>
      <c r="AB20" s="491">
        <f>Jun!$K37</f>
        <v>1089173</v>
      </c>
      <c r="AC20" s="491">
        <f>Jul!$K37</f>
        <v>964252</v>
      </c>
      <c r="AD20" s="491">
        <f>Aug!$K37</f>
        <v>1322423</v>
      </c>
      <c r="AE20" s="491">
        <f>Sep!$K37</f>
        <v>1101192</v>
      </c>
      <c r="AF20" s="491">
        <f>Oct!$K37</f>
        <v>1392647</v>
      </c>
      <c r="AG20" s="491">
        <f>Nov!$K37</f>
        <v>2379775</v>
      </c>
      <c r="AH20" s="491">
        <f>Dec!$K37</f>
        <v>0</v>
      </c>
      <c r="AI20" s="491"/>
    </row>
    <row r="21" spans="1:40" hidden="1">
      <c r="A21" s="483"/>
      <c r="B21" s="481" t="s">
        <v>39</v>
      </c>
      <c r="C21" s="491">
        <f t="shared" si="10"/>
        <v>0</v>
      </c>
      <c r="D21" s="491">
        <f>SUM(G21:R21)</f>
        <v>0</v>
      </c>
      <c r="E21" s="491"/>
      <c r="F21" s="491"/>
      <c r="G21" s="491"/>
      <c r="H21" s="491"/>
    </row>
    <row r="22" spans="1:40" hidden="1">
      <c r="A22" s="483"/>
      <c r="B22" s="481" t="s">
        <v>40</v>
      </c>
      <c r="C22" s="491">
        <f t="shared" si="10"/>
        <v>0</v>
      </c>
      <c r="D22" s="491">
        <f>SUM(G22:R22)</f>
        <v>0</v>
      </c>
      <c r="E22" s="491"/>
      <c r="F22" s="491"/>
      <c r="G22" s="491"/>
      <c r="H22" s="491"/>
    </row>
    <row r="23" spans="1:40" hidden="1">
      <c r="A23" s="483"/>
      <c r="B23" s="481" t="s">
        <v>41</v>
      </c>
      <c r="C23" s="491">
        <f t="shared" si="10"/>
        <v>0</v>
      </c>
      <c r="D23" s="491">
        <f>SUM(G23:R23)</f>
        <v>0</v>
      </c>
      <c r="E23" s="491"/>
      <c r="F23" s="491"/>
      <c r="G23" s="491"/>
      <c r="H23" s="491"/>
    </row>
    <row r="24" spans="1:40">
      <c r="A24" s="483"/>
      <c r="B24" s="481" t="s">
        <v>42</v>
      </c>
      <c r="C24" s="491">
        <f t="shared" si="10"/>
        <v>0</v>
      </c>
      <c r="D24" s="491">
        <f>SUM(F24:Q24)</f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f>Jan!$K41</f>
        <v>0</v>
      </c>
      <c r="V24" s="491">
        <f>Feb!$K41</f>
        <v>0</v>
      </c>
      <c r="W24" s="491"/>
      <c r="X24" s="491"/>
      <c r="Y24" s="491">
        <f>Mar!$K41</f>
        <v>0</v>
      </c>
      <c r="Z24" s="491">
        <f>Apr!$K41</f>
        <v>0</v>
      </c>
      <c r="AA24" s="491">
        <f>May!$K41</f>
        <v>0</v>
      </c>
      <c r="AB24" s="491">
        <f>Jun!$K41</f>
        <v>0</v>
      </c>
      <c r="AC24" s="491">
        <f>Jul!$K41</f>
        <v>0</v>
      </c>
      <c r="AD24" s="491">
        <f>Aug!$K41</f>
        <v>0</v>
      </c>
      <c r="AE24" s="491">
        <f>Sep!$K41</f>
        <v>0</v>
      </c>
      <c r="AF24" s="491">
        <f>Oct!$K41</f>
        <v>0</v>
      </c>
      <c r="AG24" s="491">
        <f>Nov!$K41</f>
        <v>0</v>
      </c>
      <c r="AH24" s="491">
        <f>Dec!$K41</f>
        <v>0</v>
      </c>
      <c r="AI24" s="491"/>
    </row>
    <row r="25" spans="1:40" hidden="1">
      <c r="A25" s="483"/>
      <c r="B25" s="481" t="s">
        <v>43</v>
      </c>
      <c r="C25" s="491">
        <f t="shared" ref="C25:C26" si="11">SUM(I25:T25)</f>
        <v>0</v>
      </c>
      <c r="D25" s="491">
        <f>SUM(G25:R25)</f>
        <v>0</v>
      </c>
      <c r="E25" s="491"/>
      <c r="F25" s="491"/>
      <c r="G25" s="491"/>
      <c r="H25" s="491"/>
    </row>
    <row r="26" spans="1:40" hidden="1">
      <c r="A26" s="483"/>
      <c r="B26" s="481" t="s">
        <v>74</v>
      </c>
      <c r="C26" s="491">
        <f t="shared" si="11"/>
        <v>0</v>
      </c>
      <c r="D26" s="491">
        <f>SUM(G26:R26)</f>
        <v>0</v>
      </c>
      <c r="E26" s="491"/>
      <c r="F26" s="491"/>
      <c r="G26" s="491"/>
      <c r="H26" s="491"/>
    </row>
    <row r="27" spans="1:40" ht="16" thickBot="1">
      <c r="A27" s="483"/>
      <c r="B27" s="481" t="s">
        <v>21</v>
      </c>
      <c r="C27" s="542">
        <f>SUM(U27:AH27)</f>
        <v>57134810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2">SUM(G19:G26)</f>
        <v>9508099</v>
      </c>
      <c r="H27" s="542">
        <f t="shared" si="12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H27" si="13">SUM(U19:U26)</f>
        <v>11809937</v>
      </c>
      <c r="V27" s="542">
        <f t="shared" si="13"/>
        <v>7940694</v>
      </c>
      <c r="W27" s="542"/>
      <c r="X27" s="542"/>
      <c r="Y27" s="542">
        <f t="shared" si="13"/>
        <v>7017973</v>
      </c>
      <c r="Z27" s="542">
        <f t="shared" si="13"/>
        <v>5254736</v>
      </c>
      <c r="AA27" s="542">
        <f t="shared" si="13"/>
        <v>2699945</v>
      </c>
      <c r="AB27" s="542">
        <f t="shared" si="13"/>
        <v>2074520</v>
      </c>
      <c r="AC27" s="542">
        <f t="shared" si="13"/>
        <v>1954290</v>
      </c>
      <c r="AD27" s="542">
        <f t="shared" si="13"/>
        <v>2252954</v>
      </c>
      <c r="AE27" s="542">
        <f t="shared" si="13"/>
        <v>2632656</v>
      </c>
      <c r="AF27" s="542">
        <f t="shared" si="13"/>
        <v>3869259</v>
      </c>
      <c r="AG27" s="542">
        <f t="shared" si="13"/>
        <v>9627846</v>
      </c>
      <c r="AH27" s="542">
        <f t="shared" si="13"/>
        <v>0</v>
      </c>
    </row>
    <row r="28" spans="1:40" ht="16" thickTop="1">
      <c r="A28" s="483"/>
      <c r="B28" s="481" t="s">
        <v>269</v>
      </c>
      <c r="C28" s="491">
        <f>SUM(U28:AH28)</f>
        <v>19750631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/>
      <c r="X28" s="491"/>
      <c r="Y28" s="491"/>
      <c r="Z28" s="491"/>
      <c r="AA28" s="491"/>
      <c r="AB28" s="491"/>
      <c r="AC28" s="543"/>
      <c r="AD28" s="543"/>
      <c r="AE28" s="543"/>
      <c r="AF28" s="543"/>
      <c r="AG28" s="543"/>
      <c r="AH28" s="543"/>
    </row>
    <row r="29" spans="1:40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</row>
    <row r="30" spans="1:40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H30" si="14">U30+1</f>
        <v>201502</v>
      </c>
      <c r="W30" s="484"/>
      <c r="X30" s="484"/>
      <c r="Y30" s="484">
        <f>V30+1</f>
        <v>201503</v>
      </c>
      <c r="Z30" s="484">
        <f t="shared" si="14"/>
        <v>201504</v>
      </c>
      <c r="AA30" s="484">
        <f t="shared" si="14"/>
        <v>201505</v>
      </c>
      <c r="AB30" s="484">
        <f t="shared" si="14"/>
        <v>201506</v>
      </c>
      <c r="AC30" s="484">
        <f t="shared" si="14"/>
        <v>201507</v>
      </c>
      <c r="AD30" s="484">
        <f t="shared" si="14"/>
        <v>201508</v>
      </c>
      <c r="AE30" s="484">
        <f t="shared" si="14"/>
        <v>201509</v>
      </c>
      <c r="AF30" s="484">
        <f t="shared" si="14"/>
        <v>201510</v>
      </c>
      <c r="AG30" s="484">
        <f t="shared" si="14"/>
        <v>201511</v>
      </c>
      <c r="AH30" s="484">
        <f t="shared" si="14"/>
        <v>201512</v>
      </c>
    </row>
    <row r="31" spans="1:40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/>
      <c r="X31" s="492"/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>
        <v>3.041E-2</v>
      </c>
      <c r="AF31" s="492">
        <v>3.041E-2</v>
      </c>
      <c r="AG31" s="492" t="s">
        <v>270</v>
      </c>
      <c r="AH31" s="492" t="s">
        <v>270</v>
      </c>
    </row>
    <row r="32" spans="1:40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/>
      <c r="X32" s="492"/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>
        <v>3.041E-2</v>
      </c>
      <c r="AF32" s="492">
        <v>3.041E-2</v>
      </c>
      <c r="AG32" s="492" t="s">
        <v>270</v>
      </c>
      <c r="AH32" s="492" t="s">
        <v>270</v>
      </c>
    </row>
    <row r="33" spans="1:41" hidden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/>
      <c r="AG33" s="492" t="s">
        <v>270</v>
      </c>
      <c r="AH33" s="492" t="s">
        <v>270</v>
      </c>
    </row>
    <row r="34" spans="1:41" hidden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/>
      <c r="AF34" s="492"/>
      <c r="AG34" s="492" t="s">
        <v>270</v>
      </c>
      <c r="AH34" s="492" t="s">
        <v>270</v>
      </c>
    </row>
    <row r="35" spans="1:41" hidden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/>
      <c r="AG35" s="492" t="s">
        <v>270</v>
      </c>
      <c r="AH35" s="492" t="s">
        <v>270</v>
      </c>
    </row>
    <row r="36" spans="1:4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/>
      <c r="X36" s="492"/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>
        <v>9.1900000000000003E-3</v>
      </c>
      <c r="AF36" s="492">
        <v>9.1900000000000003E-3</v>
      </c>
      <c r="AG36" s="492" t="s">
        <v>270</v>
      </c>
      <c r="AH36" s="492" t="s">
        <v>270</v>
      </c>
    </row>
    <row r="37" spans="1:4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</row>
    <row r="38" spans="1:4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</row>
    <row r="39" spans="1:4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595" t="s">
        <v>335</v>
      </c>
      <c r="W39" s="595" t="s">
        <v>333</v>
      </c>
      <c r="X39" s="595" t="s">
        <v>334</v>
      </c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</row>
    <row r="40" spans="1:41" s="483" customFormat="1" ht="16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586">
        <f t="shared" ref="V40:AH40" si="15">U40+1</f>
        <v>201502</v>
      </c>
      <c r="W40" s="586">
        <v>201502</v>
      </c>
      <c r="X40" s="586"/>
      <c r="Y40" s="484">
        <f>V40+1</f>
        <v>201503</v>
      </c>
      <c r="Z40" s="484">
        <f t="shared" si="15"/>
        <v>201504</v>
      </c>
      <c r="AA40" s="484">
        <f t="shared" si="15"/>
        <v>201505</v>
      </c>
      <c r="AB40" s="484">
        <f t="shared" si="15"/>
        <v>201506</v>
      </c>
      <c r="AC40" s="484">
        <f t="shared" si="15"/>
        <v>201507</v>
      </c>
      <c r="AD40" s="484">
        <f t="shared" si="15"/>
        <v>201508</v>
      </c>
      <c r="AE40" s="484">
        <f t="shared" si="15"/>
        <v>201509</v>
      </c>
      <c r="AF40" s="484">
        <f t="shared" si="15"/>
        <v>201510</v>
      </c>
      <c r="AG40" s="484">
        <f t="shared" si="15"/>
        <v>201511</v>
      </c>
      <c r="AH40" s="484">
        <f t="shared" si="15"/>
        <v>201512</v>
      </c>
      <c r="AK40" s="484"/>
    </row>
    <row r="41" spans="1:41" s="483" customFormat="1" ht="16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587">
        <v>0.01</v>
      </c>
      <c r="W41" s="587">
        <v>0.01</v>
      </c>
      <c r="X41" s="587"/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J41" s="544">
        <f>AJ4</f>
        <v>201502</v>
      </c>
      <c r="AK41" s="599" t="s">
        <v>336</v>
      </c>
      <c r="AL41" s="514"/>
      <c r="AM41" s="514"/>
      <c r="AN41" s="514"/>
      <c r="AO41" s="515"/>
    </row>
    <row r="42" spans="1:41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v>-2186758.912321737</v>
      </c>
      <c r="U42" s="482">
        <f>T47</f>
        <v>-1736171.2350945051</v>
      </c>
      <c r="V42" s="588">
        <v>-1378328.2185436797</v>
      </c>
      <c r="W42" s="588">
        <v>-1378328.2185436797</v>
      </c>
      <c r="X42" s="588">
        <f>W42-V42</f>
        <v>0</v>
      </c>
      <c r="Y42" s="482">
        <f>W47</f>
        <v>-1137899.7101841327</v>
      </c>
      <c r="Z42" s="482">
        <f t="shared" ref="Z42:AG42" si="16">Y47</f>
        <v>-925342.47744639858</v>
      </c>
      <c r="AA42" s="482">
        <f t="shared" si="16"/>
        <v>-766250.49253353721</v>
      </c>
      <c r="AB42" s="482">
        <f t="shared" si="16"/>
        <v>-684749.49660754437</v>
      </c>
      <c r="AC42" s="482">
        <f t="shared" si="16"/>
        <v>-622207.68209088396</v>
      </c>
      <c r="AD42" s="482">
        <f t="shared" si="16"/>
        <v>-563271.46710975142</v>
      </c>
      <c r="AE42" s="482">
        <f t="shared" si="16"/>
        <v>-495199.98205436784</v>
      </c>
      <c r="AF42" s="482">
        <f t="shared" si="16"/>
        <v>-415520.22180067981</v>
      </c>
      <c r="AG42" s="482">
        <f t="shared" si="16"/>
        <v>-298153.29572626785</v>
      </c>
      <c r="AH42" s="482">
        <f>AG47</f>
        <v>-298401.75680603972</v>
      </c>
      <c r="AJ42" s="497" t="s">
        <v>308</v>
      </c>
      <c r="AK42" s="527">
        <v>419600</v>
      </c>
      <c r="AL42" s="498" t="s">
        <v>288</v>
      </c>
      <c r="AM42" s="498" t="s">
        <v>291</v>
      </c>
      <c r="AN42" s="519">
        <v>0</v>
      </c>
      <c r="AO42" s="520">
        <f>IF(SUMIF(U40:AH40,AJ41,U44:AH44)&gt;0,SUMIF(U40:AH40,AJ41,U44:AH44),0)</f>
        <v>0</v>
      </c>
    </row>
    <row r="43" spans="1:41">
      <c r="B43" s="481" t="s">
        <v>23</v>
      </c>
      <c r="C43" s="482">
        <f>SUM(U43:AH43)</f>
        <v>1686163.2706999998</v>
      </c>
      <c r="D43" s="491">
        <f>SUM(F43:Q43)</f>
        <v>-10808.645800000002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17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313583.3579</v>
      </c>
      <c r="T43" s="557">
        <v>332991.17</v>
      </c>
      <c r="U43" s="482">
        <f t="shared" ref="U43:AB43" si="18">SUMPRODUCT(U19:U26,U31:U38)</f>
        <v>359140.18416999996</v>
      </c>
      <c r="V43" s="588">
        <f t="shared" si="18"/>
        <v>241476.50453999999</v>
      </c>
      <c r="W43" s="588">
        <v>241476.5</v>
      </c>
      <c r="X43" s="588">
        <f>W43-V43</f>
        <v>-4.5399999944493175E-3</v>
      </c>
      <c r="Y43" s="482">
        <f t="shared" si="18"/>
        <v>213416.55893</v>
      </c>
      <c r="Z43" s="482">
        <f t="shared" si="18"/>
        <v>159796.52176</v>
      </c>
      <c r="AA43" s="482">
        <f t="shared" si="18"/>
        <v>82105.327449999997</v>
      </c>
      <c r="AB43" s="482">
        <f t="shared" si="18"/>
        <v>63086.153200000001</v>
      </c>
      <c r="AC43" s="482">
        <f>SUMPRODUCT(AC19:AC26,AC31:AC38)</f>
        <v>59429.958899999998</v>
      </c>
      <c r="AD43" s="482">
        <f t="shared" ref="AD43:AF43" si="19">SUMPRODUCT(AD19:AD26,AD31:AD38)</f>
        <v>68512.331139999995</v>
      </c>
      <c r="AE43" s="482">
        <f t="shared" si="19"/>
        <v>80059.068960000004</v>
      </c>
      <c r="AF43" s="482">
        <f t="shared" si="19"/>
        <v>117664.16618999999</v>
      </c>
      <c r="AG43" s="563"/>
      <c r="AH43" s="563"/>
      <c r="AJ43" s="499" t="s">
        <v>309</v>
      </c>
      <c r="AK43" s="528">
        <v>431600</v>
      </c>
      <c r="AL43" s="358" t="s">
        <v>288</v>
      </c>
      <c r="AM43" s="358" t="s">
        <v>291</v>
      </c>
      <c r="AN43" s="381">
        <v>1297.1300000000001</v>
      </c>
      <c r="AO43" s="500">
        <v>0</v>
      </c>
    </row>
    <row r="44" spans="1:41">
      <c r="B44" s="481" t="s">
        <v>4</v>
      </c>
      <c r="C44" s="482">
        <f t="shared" ref="C44:C46" si="20">SUM(U44:AH44)</f>
        <v>-8213.9521826595555</v>
      </c>
      <c r="D44" s="491">
        <f>SUM(F44:Q44)</f>
        <v>1068.3629816064952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559">
        <v>-1926.4530193769669</v>
      </c>
      <c r="T44" s="489">
        <f t="shared" ref="T44:AF44" si="21">((T42*(T41/12))+((T43/2)*(T41/12)))</f>
        <v>-1683.5527727681142</v>
      </c>
      <c r="U44" s="489">
        <f t="shared" si="21"/>
        <v>-1297.1676191745878</v>
      </c>
      <c r="V44" s="589">
        <f t="shared" si="21"/>
        <v>-1047.9916385613997</v>
      </c>
      <c r="W44" s="589">
        <f t="shared" ref="W44" si="22">((W42*(W41/12))+((W43/2)*(W41/12)))</f>
        <v>-1047.9916404530663</v>
      </c>
      <c r="X44" s="589">
        <f>W44-V44</f>
        <v>-1.8916666704171803E-6</v>
      </c>
      <c r="Y44" s="489">
        <f t="shared" si="21"/>
        <v>-859.32619226594397</v>
      </c>
      <c r="Z44" s="489">
        <f t="shared" si="21"/>
        <v>-704.53684713866551</v>
      </c>
      <c r="AA44" s="489">
        <f t="shared" si="21"/>
        <v>-604.33152400711435</v>
      </c>
      <c r="AB44" s="489">
        <f t="shared" si="21"/>
        <v>-544.33868333962027</v>
      </c>
      <c r="AC44" s="489">
        <f t="shared" si="21"/>
        <v>-493.74391886740335</v>
      </c>
      <c r="AD44" s="489">
        <f t="shared" si="21"/>
        <v>-440.84608461645956</v>
      </c>
      <c r="AE44" s="489">
        <f t="shared" si="21"/>
        <v>-379.3087063119732</v>
      </c>
      <c r="AF44" s="489">
        <f t="shared" si="21"/>
        <v>-297.24011558806654</v>
      </c>
      <c r="AG44" s="560">
        <f>((AG42+AG45)*(AG41/12))+(((AG43+AG46)/2)*(AG41/12))</f>
        <v>-248.4610797718899</v>
      </c>
      <c r="AH44" s="560">
        <f t="shared" ref="AH44" si="23">((AH42*(AH41/12))+((AH43/2)*(AH41/12)))</f>
        <v>-248.66813067169977</v>
      </c>
      <c r="AJ44" s="499" t="s">
        <v>310</v>
      </c>
      <c r="AK44" s="528">
        <v>191000</v>
      </c>
      <c r="AL44" s="358" t="s">
        <v>288</v>
      </c>
      <c r="AM44" s="358" t="s">
        <v>291</v>
      </c>
      <c r="AN44" s="381">
        <v>0</v>
      </c>
      <c r="AO44" s="500">
        <v>1297.1300000000001</v>
      </c>
    </row>
    <row r="45" spans="1:41">
      <c r="B45" s="481" t="s">
        <v>259</v>
      </c>
      <c r="C45" s="482">
        <f t="shared" si="20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588">
        <v>0</v>
      </c>
      <c r="W45" s="588">
        <v>0</v>
      </c>
      <c r="X45" s="589">
        <f t="shared" ref="X45" si="24">W45-V45</f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482">
        <v>0</v>
      </c>
      <c r="AF45" s="482">
        <v>0</v>
      </c>
      <c r="AG45" s="563">
        <f>-AG9-AG10-AG11</f>
        <v>0</v>
      </c>
      <c r="AH45" s="563">
        <v>0</v>
      </c>
      <c r="AJ45" s="499" t="s">
        <v>311</v>
      </c>
      <c r="AK45" s="528">
        <v>805110</v>
      </c>
      <c r="AL45" s="358" t="s">
        <v>288</v>
      </c>
      <c r="AM45" s="358" t="s">
        <v>291</v>
      </c>
      <c r="AN45" s="381">
        <f>IF((SUMIF(U40:AH40,AJ41,U43:AH43))&lt;0,-(SUMIF(U40:AH40,AJ41,U43:AH43)),0)</f>
        <v>0</v>
      </c>
      <c r="AO45" s="500">
        <v>0</v>
      </c>
    </row>
    <row r="46" spans="1:41">
      <c r="B46" s="481" t="s">
        <v>148</v>
      </c>
      <c r="C46" s="482">
        <f t="shared" si="20"/>
        <v>1297.1300000000001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-59761.03</v>
      </c>
      <c r="T46" s="557">
        <f>119522.06-242</f>
        <v>119280.06</v>
      </c>
      <c r="U46" s="563">
        <v>0</v>
      </c>
      <c r="V46" s="596">
        <v>0</v>
      </c>
      <c r="W46" s="588">
        <v>0</v>
      </c>
      <c r="X46" s="589">
        <v>1297.1300000000001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482">
        <v>0</v>
      </c>
      <c r="AF46" s="482">
        <v>0</v>
      </c>
      <c r="AG46" s="563"/>
      <c r="AH46" s="563">
        <f>-AG46*2</f>
        <v>0</v>
      </c>
      <c r="AJ46" s="153" t="s">
        <v>156</v>
      </c>
      <c r="AK46" s="209">
        <f t="shared" ref="AK46:AM47" si="25">AK44</f>
        <v>191000</v>
      </c>
      <c r="AL46" s="209" t="str">
        <f t="shared" si="25"/>
        <v>GD</v>
      </c>
      <c r="AM46" s="209" t="str">
        <f t="shared" si="25"/>
        <v>ID</v>
      </c>
      <c r="AN46" s="472">
        <v>0</v>
      </c>
      <c r="AO46" s="462"/>
    </row>
    <row r="47" spans="1:41" ht="16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26">SUM(F42:F46)</f>
        <v>122203.74560073584</v>
      </c>
      <c r="G47" s="541">
        <f t="shared" si="26"/>
        <v>121907.05607206978</v>
      </c>
      <c r="H47" s="541">
        <f t="shared" si="26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v>-2186758.912321737</v>
      </c>
      <c r="T47" s="541">
        <f>SUM(T42:T46)</f>
        <v>-1736171.2350945051</v>
      </c>
      <c r="U47" s="541">
        <f>SUM(U42:U46)</f>
        <v>-1378328.2185436797</v>
      </c>
      <c r="V47" s="597">
        <f t="shared" ref="V47:AH47" si="27">SUM(V42:V46)</f>
        <v>-1137899.7056422413</v>
      </c>
      <c r="W47" s="597">
        <f t="shared" si="27"/>
        <v>-1137899.7101841327</v>
      </c>
      <c r="X47" s="598">
        <f>SUM(X42:X46)</f>
        <v>1297.125458108339</v>
      </c>
      <c r="Y47" s="541">
        <f t="shared" si="27"/>
        <v>-925342.47744639858</v>
      </c>
      <c r="Z47" s="541">
        <f t="shared" si="27"/>
        <v>-766250.49253353721</v>
      </c>
      <c r="AA47" s="541">
        <f t="shared" si="27"/>
        <v>-684749.49660754437</v>
      </c>
      <c r="AB47" s="541">
        <f t="shared" si="27"/>
        <v>-622207.68209088396</v>
      </c>
      <c r="AC47" s="541">
        <f t="shared" si="27"/>
        <v>-563271.46710975142</v>
      </c>
      <c r="AD47" s="541">
        <f t="shared" si="27"/>
        <v>-495199.98205436784</v>
      </c>
      <c r="AE47" s="541">
        <f t="shared" si="27"/>
        <v>-415520.22180067981</v>
      </c>
      <c r="AF47" s="541">
        <f t="shared" si="27"/>
        <v>-298153.29572626785</v>
      </c>
      <c r="AG47" s="541">
        <f t="shared" si="27"/>
        <v>-298401.75680603972</v>
      </c>
      <c r="AH47" s="541">
        <f t="shared" si="27"/>
        <v>-298650.42493671144</v>
      </c>
      <c r="AJ47" s="154" t="str">
        <f>AJ46</f>
        <v>Large Customer Refund</v>
      </c>
      <c r="AK47" s="561">
        <f t="shared" si="25"/>
        <v>805110</v>
      </c>
      <c r="AL47" s="561" t="str">
        <f t="shared" si="25"/>
        <v>GD</v>
      </c>
      <c r="AM47" s="561" t="str">
        <f t="shared" si="25"/>
        <v>ID</v>
      </c>
      <c r="AN47" s="464"/>
      <c r="AO47" s="473">
        <v>0</v>
      </c>
    </row>
    <row r="48" spans="1:41" ht="16.5" thickTop="1" thickBot="1">
      <c r="B48" s="481" t="s">
        <v>260</v>
      </c>
      <c r="E48" s="482" t="e">
        <f ca="1">_xll.Get_Balance(E40,"YTD","USD","Total","A","","001",$A$40,"GD","ID","DL")</f>
        <v>#NAME?</v>
      </c>
      <c r="F48" s="482" t="e">
        <f ca="1">_xll.Get_Balance(F40,"YTD","USD","Total","A","","001",$A$40,"GD","ID","DL")</f>
        <v>#NAME?</v>
      </c>
      <c r="G48" s="482" t="e">
        <f ca="1">_xll.Get_Balance(G40,"YTD","USD","Total","A","","001",$A$40,"GD","ID","DL")</f>
        <v>#NAME?</v>
      </c>
      <c r="H48" s="482" t="e">
        <f ca="1">_xll.Get_Balance(H40,"YTD","USD","Total","A","","001",$A$40,"GD","ID","DL")</f>
        <v>#NAME?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v>-2186758.9</v>
      </c>
      <c r="T48" s="482" t="e">
        <f ca="1">_xll.Get_Balance(T40,"YTD","USD","Total","A","","001",$A$40,"GD","ID","DL")</f>
        <v>#NAME?</v>
      </c>
      <c r="U48" s="482" t="e">
        <f ca="1">_xll.Get_Balance(U40,"YTD","USD","Total","A","","001",$A$40,"GD","ID","DL")</f>
        <v>#NAME?</v>
      </c>
      <c r="V48" s="588" t="e">
        <f ca="1">_xll.Get_Balance(V40,"YTD","USD","Total","A","","001",$A$40,"GD","ID","DL")</f>
        <v>#NAME?</v>
      </c>
      <c r="W48" s="588" t="e">
        <f ca="1">_xll.Get_Balance(W40,"YTD","USD","Total","A","","001",$A$40,"GD","ID","DL")</f>
        <v>#NAME?</v>
      </c>
      <c r="X48" s="588"/>
      <c r="Y48" s="482" t="e">
        <f ca="1">_xll.Get_Balance(Y40,"YTD","USD","Total","A","","001",$A$40,"GD","ID","DL")</f>
        <v>#NAME?</v>
      </c>
      <c r="Z48" s="482" t="e">
        <f ca="1">_xll.Get_Balance(Z40,"YTD","USD","Total","A","","001",$A$40,"GD","ID","DL")</f>
        <v>#NAME?</v>
      </c>
      <c r="AA48" s="482" t="e">
        <f ca="1">_xll.Get_Balance(AA40,"YTD","USD","Total","A","","001",$A$40,"GD","ID","DL")</f>
        <v>#NAME?</v>
      </c>
      <c r="AB48" s="482" t="e">
        <f ca="1">_xll.Get_Balance(AB40,"YTD","USD","Total","A","","001",$A$40,"GD","ID","DL")</f>
        <v>#NAME?</v>
      </c>
      <c r="AC48" s="482" t="e">
        <f ca="1">_xll.Get_Balance(AC40,"YTD","USD","Total","A","","001",$A$40,"GD","ID","DL")</f>
        <v>#NAME?</v>
      </c>
      <c r="AD48" s="482" t="e">
        <f ca="1">_xll.Get_Balance(AD40,"YTD","USD","Total","A","","001",$A$40,"GD","ID","DL")</f>
        <v>#NAME?</v>
      </c>
      <c r="AE48" s="482" t="e">
        <f ca="1">_xll.Get_Balance(AE40,"YTD","USD","Total","A","","001",$A$40,"GD","ID","DL")</f>
        <v>#NAME?</v>
      </c>
      <c r="AF48" s="482" t="e">
        <f ca="1">_xll.Get_Balance(AF40,"YTD","USD","Total","A","","001",$A$40,"GD","ID","DL")</f>
        <v>#NAME?</v>
      </c>
      <c r="AG48" s="482" t="e">
        <f ca="1">_xll.Get_Balance(AG40,"YTD","USD","Total","A","","001",$A$40,"GD","ID","DL")</f>
        <v>#NAME?</v>
      </c>
      <c r="AH48" s="482" t="e">
        <f ca="1">_xll.Get_Balance(AH40,"YTD","USD","Total","A","","001",$A$40,"GD","ID","DL")</f>
        <v>#NAME?</v>
      </c>
      <c r="AJ48" s="516"/>
      <c r="AK48" s="530"/>
      <c r="AL48" s="517"/>
      <c r="AM48" s="517"/>
      <c r="AN48" s="517" t="s">
        <v>159</v>
      </c>
      <c r="AO48" s="518">
        <f>SUM(AN42:AN47)-SUM(AO42:AO47)</f>
        <v>0</v>
      </c>
    </row>
    <row r="49" spans="1:41">
      <c r="B49" s="481" t="s">
        <v>245</v>
      </c>
      <c r="E49" s="482" t="e">
        <f t="shared" ref="E49:H49" ca="1" si="28">E47-E48</f>
        <v>#NAME?</v>
      </c>
      <c r="F49" s="482" t="e">
        <f t="shared" ca="1" si="28"/>
        <v>#NAME?</v>
      </c>
      <c r="G49" s="482" t="e">
        <f t="shared" ca="1" si="28"/>
        <v>#NAME?</v>
      </c>
      <c r="H49" s="482" t="e">
        <f t="shared" ca="1" si="28"/>
        <v>#NAME?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v>-1.2321737129241228E-2</v>
      </c>
      <c r="T49" s="482">
        <v>1539.1349054949824</v>
      </c>
      <c r="U49" s="482" t="e">
        <f ca="1">U47-U48</f>
        <v>#NAME?</v>
      </c>
      <c r="V49" s="591" t="e">
        <f t="shared" ref="V49:AI49" ca="1" si="29">V47-V48</f>
        <v>#NAME?</v>
      </c>
      <c r="W49" s="591" t="e">
        <f t="shared" ca="1" si="29"/>
        <v>#NAME?</v>
      </c>
      <c r="X49" s="591"/>
      <c r="Y49" s="482" t="e">
        <f t="shared" ca="1" si="29"/>
        <v>#NAME?</v>
      </c>
      <c r="Z49" s="482" t="e">
        <f t="shared" ca="1" si="29"/>
        <v>#NAME?</v>
      </c>
      <c r="AA49" s="482" t="e">
        <f t="shared" ca="1" si="29"/>
        <v>#NAME?</v>
      </c>
      <c r="AB49" s="482" t="e">
        <f t="shared" ca="1" si="29"/>
        <v>#NAME?</v>
      </c>
      <c r="AC49" s="482" t="e">
        <f t="shared" ca="1" si="29"/>
        <v>#NAME?</v>
      </c>
      <c r="AD49" s="482" t="e">
        <f t="shared" ca="1" si="29"/>
        <v>#NAME?</v>
      </c>
      <c r="AE49" s="482" t="e">
        <f t="shared" ca="1" si="29"/>
        <v>#NAME?</v>
      </c>
      <c r="AF49" s="482" t="e">
        <f t="shared" ca="1" si="29"/>
        <v>#NAME?</v>
      </c>
      <c r="AG49" s="482" t="e">
        <f t="shared" ca="1" si="29"/>
        <v>#NAME?</v>
      </c>
      <c r="AH49" s="482" t="e">
        <f t="shared" ca="1" si="29"/>
        <v>#NAME?</v>
      </c>
      <c r="AI49" s="482">
        <f t="shared" si="29"/>
        <v>0</v>
      </c>
    </row>
    <row r="50" spans="1:41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J50" s="601"/>
      <c r="AK50" s="602"/>
      <c r="AL50" s="576"/>
      <c r="AM50" s="576"/>
      <c r="AN50" s="576"/>
      <c r="AO50" s="576"/>
    </row>
    <row r="51" spans="1:41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H51" si="30">U51+1</f>
        <v>201502</v>
      </c>
      <c r="W51" s="484"/>
      <c r="X51" s="484"/>
      <c r="Y51" s="484">
        <f>V51+1</f>
        <v>201503</v>
      </c>
      <c r="Z51" s="484">
        <f t="shared" si="30"/>
        <v>201504</v>
      </c>
      <c r="AA51" s="484">
        <f t="shared" si="30"/>
        <v>201505</v>
      </c>
      <c r="AB51" s="484">
        <f t="shared" si="30"/>
        <v>201506</v>
      </c>
      <c r="AC51" s="484">
        <f t="shared" si="30"/>
        <v>201507</v>
      </c>
      <c r="AD51" s="484">
        <f t="shared" si="30"/>
        <v>201508</v>
      </c>
      <c r="AE51" s="484">
        <f t="shared" si="30"/>
        <v>201509</v>
      </c>
      <c r="AF51" s="484">
        <f t="shared" si="30"/>
        <v>201510</v>
      </c>
      <c r="AG51" s="484">
        <f t="shared" si="30"/>
        <v>201511</v>
      </c>
      <c r="AH51" s="484">
        <f t="shared" si="30"/>
        <v>201512</v>
      </c>
      <c r="AJ51" s="358"/>
      <c r="AK51" s="528"/>
      <c r="AL51" s="358"/>
      <c r="AM51" s="358"/>
      <c r="AN51" s="381"/>
      <c r="AO51" s="381"/>
    </row>
    <row r="52" spans="1:41">
      <c r="A52" s="483"/>
      <c r="B52" s="481" t="s">
        <v>37</v>
      </c>
      <c r="C52" s="491">
        <f>SUM(U52:AH52)</f>
        <v>39097164</v>
      </c>
      <c r="D52" s="491">
        <f>SUM(F52:Q52)</f>
        <v>52384687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f>Jan!$K36</f>
        <v>8991869</v>
      </c>
      <c r="V52" s="491">
        <f>Feb!$K36</f>
        <v>5607449</v>
      </c>
      <c r="W52" s="491"/>
      <c r="X52" s="491"/>
      <c r="Y52" s="491">
        <f>Mar!$K36</f>
        <v>5090227</v>
      </c>
      <c r="Z52" s="491">
        <f>Apr!$K36</f>
        <v>3621515</v>
      </c>
      <c r="AA52" s="491">
        <f>May!$K36</f>
        <v>1624041</v>
      </c>
      <c r="AB52" s="491">
        <f>Jun!$K36</f>
        <v>985347</v>
      </c>
      <c r="AC52" s="491">
        <f>Jul!$K36</f>
        <v>990038</v>
      </c>
      <c r="AD52" s="491">
        <f>Aug!$K36</f>
        <v>930531</v>
      </c>
      <c r="AE52" s="491">
        <f>Sep!$K36</f>
        <v>1531464</v>
      </c>
      <c r="AF52" s="491">
        <f>Oct!$K36</f>
        <v>2476612</v>
      </c>
      <c r="AG52" s="491">
        <f>Nov!$K36</f>
        <v>7248071</v>
      </c>
      <c r="AH52" s="491">
        <f>Dec!$K36</f>
        <v>0</v>
      </c>
      <c r="AI52" s="491">
        <f>Jan!$K36</f>
        <v>8991869</v>
      </c>
      <c r="AJ52" s="358"/>
      <c r="AK52" s="528"/>
      <c r="AL52" s="358"/>
      <c r="AM52" s="358"/>
      <c r="AN52" s="381"/>
      <c r="AO52" s="381"/>
    </row>
    <row r="53" spans="1:41">
      <c r="A53" s="483"/>
      <c r="B53" s="481" t="s">
        <v>38</v>
      </c>
      <c r="C53" s="491">
        <f t="shared" ref="C53:C60" si="31">SUM(U53:AH53)</f>
        <v>18037646</v>
      </c>
      <c r="D53" s="491">
        <f>SUM(F53:Q53)</f>
        <v>20863784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f>Jan!$K37</f>
        <v>2818068</v>
      </c>
      <c r="V53" s="491">
        <f>Feb!$K37</f>
        <v>2333245</v>
      </c>
      <c r="W53" s="491"/>
      <c r="X53" s="491"/>
      <c r="Y53" s="491">
        <f>Mar!$K37</f>
        <v>1927746</v>
      </c>
      <c r="Z53" s="491">
        <f>Apr!$K37</f>
        <v>1633221</v>
      </c>
      <c r="AA53" s="491">
        <f>May!$K37</f>
        <v>1075904</v>
      </c>
      <c r="AB53" s="491">
        <f>Jun!$K37</f>
        <v>1089173</v>
      </c>
      <c r="AC53" s="491">
        <f>Jul!$K37</f>
        <v>964252</v>
      </c>
      <c r="AD53" s="491">
        <f>Aug!$K37</f>
        <v>1322423</v>
      </c>
      <c r="AE53" s="491">
        <f>Sep!$K37</f>
        <v>1101192</v>
      </c>
      <c r="AF53" s="491">
        <f>Oct!$K37</f>
        <v>1392647</v>
      </c>
      <c r="AG53" s="491">
        <f>Nov!$K37</f>
        <v>2379775</v>
      </c>
      <c r="AH53" s="491">
        <f>Dec!$K37</f>
        <v>0</v>
      </c>
      <c r="AI53" s="491">
        <f>Jan!$K37</f>
        <v>2818068</v>
      </c>
      <c r="AJ53" s="358"/>
      <c r="AK53" s="528"/>
      <c r="AL53" s="358"/>
      <c r="AM53" s="358"/>
      <c r="AN53" s="381"/>
      <c r="AO53" s="381"/>
    </row>
    <row r="54" spans="1:41">
      <c r="A54" s="483"/>
      <c r="B54" s="481" t="s">
        <v>39</v>
      </c>
      <c r="C54" s="491">
        <f t="shared" si="31"/>
        <v>246353</v>
      </c>
      <c r="D54" s="491">
        <f>SUM(F54:Q54)</f>
        <v>216282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f>Jan!$K38</f>
        <v>2994</v>
      </c>
      <c r="V54" s="491">
        <f>Feb!$K38</f>
        <v>1973</v>
      </c>
      <c r="W54" s="491"/>
      <c r="X54" s="491"/>
      <c r="Y54" s="491">
        <f>Mar!$K38</f>
        <v>871</v>
      </c>
      <c r="Z54" s="491">
        <f>Apr!$K38</f>
        <v>5610</v>
      </c>
      <c r="AA54" s="491">
        <f>May!$K38</f>
        <v>18173</v>
      </c>
      <c r="AB54" s="491">
        <f>Jun!$K38</f>
        <v>21920</v>
      </c>
      <c r="AC54" s="491">
        <f>Jul!$K38</f>
        <v>28026</v>
      </c>
      <c r="AD54" s="491">
        <f>Aug!$K38</f>
        <v>47622</v>
      </c>
      <c r="AE54" s="491">
        <f>Sep!$K38</f>
        <v>26734</v>
      </c>
      <c r="AF54" s="491">
        <f>Oct!$K38</f>
        <v>68934</v>
      </c>
      <c r="AG54" s="491">
        <f>Nov!$K38</f>
        <v>23496</v>
      </c>
      <c r="AH54" s="491">
        <f>Dec!$K38</f>
        <v>0</v>
      </c>
      <c r="AI54" s="491">
        <f>Jan!$K38</f>
        <v>2994</v>
      </c>
      <c r="AJ54" s="358"/>
      <c r="AK54" s="528"/>
      <c r="AL54" s="358"/>
      <c r="AM54" s="358"/>
      <c r="AN54" s="381"/>
      <c r="AO54" s="381"/>
    </row>
    <row r="55" spans="1:41">
      <c r="A55" s="483"/>
      <c r="B55" s="481" t="s">
        <v>40</v>
      </c>
      <c r="C55" s="491">
        <f t="shared" si="31"/>
        <v>0</v>
      </c>
      <c r="D55" s="491">
        <f>SUM(F55:Q55)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f>Jan!$K39</f>
        <v>0</v>
      </c>
      <c r="V55" s="491">
        <f>Feb!$K39</f>
        <v>0</v>
      </c>
      <c r="W55" s="491"/>
      <c r="X55" s="491"/>
      <c r="Y55" s="491">
        <f>Mar!$K39</f>
        <v>0</v>
      </c>
      <c r="Z55" s="491">
        <f>Apr!$K39</f>
        <v>0</v>
      </c>
      <c r="AA55" s="491">
        <f>May!$K39</f>
        <v>0</v>
      </c>
      <c r="AB55" s="491">
        <f>Jun!$K39</f>
        <v>0</v>
      </c>
      <c r="AC55" s="491">
        <f>Jul!$K39</f>
        <v>0</v>
      </c>
      <c r="AD55" s="491">
        <f>Aug!$K39</f>
        <v>0</v>
      </c>
      <c r="AE55" s="491">
        <f>Sep!$K39</f>
        <v>0</v>
      </c>
      <c r="AF55" s="491">
        <f>Oct!$K39</f>
        <v>0</v>
      </c>
      <c r="AG55" s="491">
        <f>Nov!$K39</f>
        <v>0</v>
      </c>
      <c r="AH55" s="491">
        <f>Dec!$K39</f>
        <v>0</v>
      </c>
      <c r="AI55" s="491">
        <f>Jan!$K39</f>
        <v>0</v>
      </c>
      <c r="AJ55" s="358"/>
      <c r="AK55" s="528"/>
      <c r="AL55" s="528"/>
      <c r="AM55" s="528"/>
      <c r="AN55" s="381"/>
      <c r="AO55" s="381"/>
    </row>
    <row r="56" spans="1:41" hidden="1">
      <c r="A56" s="483"/>
      <c r="B56" s="481" t="s">
        <v>41</v>
      </c>
      <c r="C56" s="491">
        <f t="shared" si="31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7">
        <f>AJ55</f>
        <v>0</v>
      </c>
      <c r="AK56" s="209">
        <f t="shared" ref="AK56:AM56" si="32">AK54</f>
        <v>0</v>
      </c>
      <c r="AL56" s="209">
        <f t="shared" si="32"/>
        <v>0</v>
      </c>
      <c r="AM56" s="209">
        <f t="shared" si="32"/>
        <v>0</v>
      </c>
      <c r="AN56" s="472"/>
      <c r="AO56" s="472">
        <v>0</v>
      </c>
    </row>
    <row r="57" spans="1:41" hidden="1">
      <c r="A57" s="483"/>
      <c r="B57" s="481" t="s">
        <v>42</v>
      </c>
      <c r="C57" s="491">
        <f t="shared" si="31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576"/>
      <c r="AK57" s="603"/>
      <c r="AL57" s="576"/>
      <c r="AM57" s="576"/>
      <c r="AN57" s="576" t="s">
        <v>159</v>
      </c>
      <c r="AO57" s="576">
        <f>SUM(AN51:AN56)-SUM(AO51:AO56)</f>
        <v>0</v>
      </c>
    </row>
    <row r="58" spans="1:41">
      <c r="A58" s="483"/>
      <c r="B58" s="481" t="s">
        <v>43</v>
      </c>
      <c r="C58" s="491">
        <f t="shared" si="31"/>
        <v>148273</v>
      </c>
      <c r="D58" s="491">
        <f>SUM(F58:Q58)</f>
        <v>312916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f>Jan!$K42</f>
        <v>40458</v>
      </c>
      <c r="V58" s="491">
        <f>Feb!$K42</f>
        <v>33212</v>
      </c>
      <c r="W58" s="491"/>
      <c r="X58" s="491"/>
      <c r="Y58" s="491">
        <f>Mar!$K42</f>
        <v>33140</v>
      </c>
      <c r="Z58" s="491">
        <f>Apr!$K42</f>
        <v>25684</v>
      </c>
      <c r="AA58" s="491">
        <f>May!$K42</f>
        <v>15779</v>
      </c>
      <c r="AB58" s="491">
        <f>Jun!$K42</f>
        <v>0</v>
      </c>
      <c r="AC58" s="491">
        <f>Jul!$K42</f>
        <v>0</v>
      </c>
      <c r="AD58" s="491">
        <f>Aug!$K42</f>
        <v>0</v>
      </c>
      <c r="AE58" s="491">
        <f>Sep!$K42</f>
        <v>0</v>
      </c>
      <c r="AF58" s="491">
        <f>Oct!$K42</f>
        <v>0</v>
      </c>
      <c r="AG58" s="491">
        <f>Nov!$K42</f>
        <v>0</v>
      </c>
      <c r="AH58" s="491">
        <f>Dec!$K42</f>
        <v>0</v>
      </c>
      <c r="AI58" s="491">
        <f>Jan!$K42</f>
        <v>40458</v>
      </c>
      <c r="AJ58" s="576"/>
      <c r="AK58" s="603"/>
      <c r="AL58" s="576"/>
      <c r="AM58" s="576"/>
      <c r="AN58" s="576"/>
      <c r="AO58" s="576"/>
    </row>
    <row r="59" spans="1:41" hidden="1">
      <c r="A59" s="483"/>
      <c r="B59" s="481" t="s">
        <v>74</v>
      </c>
      <c r="C59" s="491">
        <f t="shared" ref="C59" si="33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W59" s="491"/>
      <c r="X59" s="491"/>
    </row>
    <row r="60" spans="1:41" ht="16" thickBot="1">
      <c r="A60" s="483"/>
      <c r="B60" s="481" t="s">
        <v>21</v>
      </c>
      <c r="C60" s="542">
        <f t="shared" si="31"/>
        <v>57529436</v>
      </c>
      <c r="D60" s="542">
        <f>SUM(F60:Q60)</f>
        <v>73777669</v>
      </c>
      <c r="E60" s="542" t="s">
        <v>272</v>
      </c>
      <c r="F60" s="542">
        <f>SUM(F52:F59)</f>
        <v>0</v>
      </c>
      <c r="G60" s="542">
        <f t="shared" ref="G60:H60" si="34">SUM(G52:G59)</f>
        <v>9560411</v>
      </c>
      <c r="H60" s="542">
        <f t="shared" si="34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H60" si="35">SUM(U52:U59)</f>
        <v>11853389</v>
      </c>
      <c r="V60" s="542">
        <f t="shared" si="35"/>
        <v>7975879</v>
      </c>
      <c r="W60" s="542"/>
      <c r="X60" s="542"/>
      <c r="Y60" s="542">
        <f t="shared" si="35"/>
        <v>7051984</v>
      </c>
      <c r="Z60" s="542">
        <f t="shared" si="35"/>
        <v>5286030</v>
      </c>
      <c r="AA60" s="542">
        <f t="shared" si="35"/>
        <v>2733897</v>
      </c>
      <c r="AB60" s="542">
        <f t="shared" si="35"/>
        <v>2096440</v>
      </c>
      <c r="AC60" s="542">
        <f t="shared" si="35"/>
        <v>1982316</v>
      </c>
      <c r="AD60" s="542">
        <f t="shared" si="35"/>
        <v>2300576</v>
      </c>
      <c r="AE60" s="542">
        <f t="shared" si="35"/>
        <v>2659390</v>
      </c>
      <c r="AF60" s="542">
        <f t="shared" si="35"/>
        <v>3938193</v>
      </c>
      <c r="AG60" s="542">
        <f t="shared" si="35"/>
        <v>9651342</v>
      </c>
      <c r="AH60" s="542">
        <f t="shared" si="35"/>
        <v>0</v>
      </c>
    </row>
    <row r="61" spans="1:41" ht="16" thickTop="1">
      <c r="A61" s="483"/>
      <c r="B61" s="481" t="s">
        <v>269</v>
      </c>
      <c r="C61" s="491">
        <f>SUM(U61:AH61)</f>
        <v>19829268</v>
      </c>
      <c r="D61" s="491">
        <f>SUM(F61:Q61)</f>
        <v>73777669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/>
      <c r="X61" s="491"/>
      <c r="Y61" s="491"/>
      <c r="Z61" s="543"/>
      <c r="AA61" s="543"/>
      <c r="AB61" s="543"/>
      <c r="AC61" s="543"/>
      <c r="AD61" s="543"/>
      <c r="AE61" s="543"/>
      <c r="AF61" s="543"/>
      <c r="AG61" s="543"/>
    </row>
    <row r="62" spans="1:41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</row>
    <row r="63" spans="1:41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H63" si="36">U63+1</f>
        <v>201502</v>
      </c>
      <c r="W63" s="484"/>
      <c r="X63" s="484"/>
      <c r="Y63" s="484">
        <f>V63+1</f>
        <v>201503</v>
      </c>
      <c r="Z63" s="484">
        <f t="shared" si="36"/>
        <v>201504</v>
      </c>
      <c r="AA63" s="484">
        <f t="shared" si="36"/>
        <v>201505</v>
      </c>
      <c r="AB63" s="484">
        <f t="shared" si="36"/>
        <v>201506</v>
      </c>
      <c r="AC63" s="484">
        <f t="shared" si="36"/>
        <v>201507</v>
      </c>
      <c r="AD63" s="484">
        <f t="shared" si="36"/>
        <v>201508</v>
      </c>
      <c r="AE63" s="484">
        <f t="shared" si="36"/>
        <v>201509</v>
      </c>
      <c r="AF63" s="484">
        <f t="shared" si="36"/>
        <v>201510</v>
      </c>
      <c r="AG63" s="484">
        <f t="shared" si="36"/>
        <v>201511</v>
      </c>
      <c r="AH63" s="484">
        <f t="shared" si="36"/>
        <v>201512</v>
      </c>
    </row>
    <row r="64" spans="1:41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/>
      <c r="X64" s="492"/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1.482E-2</v>
      </c>
      <c r="AH64" s="492">
        <v>1.482E-2</v>
      </c>
    </row>
    <row r="65" spans="1:4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/>
      <c r="X65" s="492"/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1.482E-2</v>
      </c>
      <c r="AH65" s="492">
        <v>1.482E-2</v>
      </c>
    </row>
    <row r="66" spans="1:4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/>
      <c r="X66" s="492"/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1.482E-2</v>
      </c>
      <c r="AH66" s="492">
        <v>1.482E-2</v>
      </c>
    </row>
    <row r="67" spans="1:4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/>
      <c r="X67" s="492"/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1.482E-2</v>
      </c>
      <c r="AH67" s="492">
        <v>1.482E-2</v>
      </c>
      <c r="AJ67" s="707" t="s">
        <v>330</v>
      </c>
      <c r="AK67" s="708"/>
      <c r="AL67" s="708"/>
      <c r="AM67" s="708"/>
      <c r="AN67" s="708"/>
      <c r="AO67" s="708"/>
    </row>
    <row r="68" spans="1:4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J68" s="708"/>
      <c r="AK68" s="708"/>
      <c r="AL68" s="708"/>
      <c r="AM68" s="708"/>
      <c r="AN68" s="708"/>
      <c r="AO68" s="708"/>
    </row>
    <row r="69" spans="1:4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J69" s="708"/>
      <c r="AK69" s="708"/>
      <c r="AL69" s="708"/>
      <c r="AM69" s="708"/>
      <c r="AN69" s="708"/>
      <c r="AO69" s="708"/>
    </row>
    <row r="70" spans="1:4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/>
      <c r="X70" s="492"/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1.482E-2</v>
      </c>
      <c r="AH70" s="492">
        <v>1.482E-2</v>
      </c>
      <c r="AJ70" s="708"/>
      <c r="AK70" s="708"/>
      <c r="AL70" s="708"/>
      <c r="AM70" s="708"/>
      <c r="AN70" s="708"/>
      <c r="AO70" s="708"/>
    </row>
    <row r="71" spans="1:4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J71" s="708"/>
      <c r="AK71" s="708"/>
      <c r="AL71" s="708"/>
      <c r="AM71" s="708"/>
      <c r="AN71" s="708"/>
      <c r="AO71" s="708"/>
    </row>
    <row r="72" spans="1:4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J72" s="708"/>
      <c r="AK72" s="708"/>
      <c r="AL72" s="708"/>
      <c r="AM72" s="708"/>
      <c r="AN72" s="708"/>
      <c r="AO72" s="708"/>
    </row>
    <row r="73" spans="1:41" s="483" customFormat="1" ht="16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H73" si="37">U73+1</f>
        <v>201502</v>
      </c>
      <c r="W73" s="484"/>
      <c r="X73" s="484"/>
      <c r="Y73" s="484">
        <f>V73+1</f>
        <v>201503</v>
      </c>
      <c r="Z73" s="484">
        <f t="shared" si="37"/>
        <v>201504</v>
      </c>
      <c r="AA73" s="484">
        <f t="shared" si="37"/>
        <v>201505</v>
      </c>
      <c r="AB73" s="484">
        <f t="shared" si="37"/>
        <v>201506</v>
      </c>
      <c r="AC73" s="484">
        <f t="shared" si="37"/>
        <v>201507</v>
      </c>
      <c r="AD73" s="484">
        <f t="shared" si="37"/>
        <v>201508</v>
      </c>
      <c r="AE73" s="484">
        <f t="shared" si="37"/>
        <v>201509</v>
      </c>
      <c r="AF73" s="484">
        <f t="shared" si="37"/>
        <v>201510</v>
      </c>
      <c r="AG73" s="484">
        <f t="shared" si="37"/>
        <v>201511</v>
      </c>
      <c r="AH73" s="484">
        <f t="shared" si="37"/>
        <v>201512</v>
      </c>
      <c r="AJ73" s="564" t="s">
        <v>330</v>
      </c>
      <c r="AK73" s="525"/>
      <c r="AL73" s="482"/>
      <c r="AM73" s="482"/>
      <c r="AN73" s="482"/>
      <c r="AO73" s="482"/>
    </row>
    <row r="74" spans="1:41" s="483" customFormat="1" ht="16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/>
      <c r="X74" s="488"/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J74" s="513">
        <f>AJ4</f>
        <v>201502</v>
      </c>
      <c r="AK74" s="526"/>
      <c r="AL74" s="514"/>
      <c r="AM74" s="514"/>
      <c r="AN74" s="523"/>
      <c r="AO74" s="515"/>
    </row>
    <row r="75" spans="1:41">
      <c r="A75" s="493"/>
      <c r="B75" s="481" t="s">
        <v>253</v>
      </c>
      <c r="E75" s="482">
        <v>-1564267.6899999997</v>
      </c>
      <c r="F75" s="482">
        <f>E79</f>
        <v>-1565571.2464083331</v>
      </c>
      <c r="G75" s="482">
        <f>F79</f>
        <v>-1478312.2029470066</v>
      </c>
      <c r="H75" s="482">
        <f>G79</f>
        <v>-1339478.1882327958</v>
      </c>
      <c r="I75" s="482">
        <v>-1135996.718859798</v>
      </c>
      <c r="J75" s="482">
        <v>-962575.67419983121</v>
      </c>
      <c r="K75" s="482">
        <v>-785906.0743522977</v>
      </c>
      <c r="L75" s="482">
        <v>-649044.54606452456</v>
      </c>
      <c r="M75" s="482">
        <v>-566646.74091115326</v>
      </c>
      <c r="N75" s="482">
        <v>-521604.79837865423</v>
      </c>
      <c r="O75" s="482">
        <v>-484025.98660976981</v>
      </c>
      <c r="P75" s="482">
        <v>-455667.85197583633</v>
      </c>
      <c r="Q75" s="482">
        <v>-425185.98752664123</v>
      </c>
      <c r="R75" s="482">
        <v>-393486.99357723846</v>
      </c>
      <c r="S75" s="482">
        <v>-328715.06273061951</v>
      </c>
      <c r="T75" s="482">
        <v>-176703.47735926168</v>
      </c>
      <c r="U75" s="482">
        <f>T79</f>
        <v>-11881.022647536076</v>
      </c>
      <c r="V75" s="482">
        <f>U79</f>
        <v>-11890.918517667358</v>
      </c>
      <c r="Y75" s="482">
        <f>V79</f>
        <v>-11900.827616432081</v>
      </c>
      <c r="Z75" s="482">
        <f t="shared" ref="Z75:AH75" si="38">Y79</f>
        <v>-11910.744972779108</v>
      </c>
      <c r="AA75" s="482">
        <f t="shared" si="38"/>
        <v>-11920.670593589757</v>
      </c>
      <c r="AB75" s="482">
        <f t="shared" si="38"/>
        <v>-11930.604485751082</v>
      </c>
      <c r="AC75" s="482">
        <f t="shared" si="38"/>
        <v>-11940.546656155875</v>
      </c>
      <c r="AD75" s="482">
        <f t="shared" si="38"/>
        <v>-11950.497111702673</v>
      </c>
      <c r="AE75" s="482">
        <f t="shared" si="38"/>
        <v>-11960.455859295758</v>
      </c>
      <c r="AF75" s="482">
        <f t="shared" si="38"/>
        <v>-11970.422905845171</v>
      </c>
      <c r="AG75" s="482">
        <f t="shared" si="38"/>
        <v>-11980.398258266709</v>
      </c>
      <c r="AH75" s="482">
        <f t="shared" si="38"/>
        <v>-11990.381923481931</v>
      </c>
      <c r="AJ75" s="497" t="s">
        <v>308</v>
      </c>
      <c r="AK75" s="527">
        <v>419600</v>
      </c>
      <c r="AL75" s="498" t="s">
        <v>288</v>
      </c>
      <c r="AM75" s="498" t="s">
        <v>291</v>
      </c>
      <c r="AN75" s="470">
        <f>IF(SUMIF(U72:AH72,AJ73,U76:AH76)&lt;0,-SUMIF(U72:AH72,AJ73,U76:AH76),0)</f>
        <v>0</v>
      </c>
      <c r="AO75" s="520">
        <f>IF(SUMIF(U73:AH73,AJ74,U77:AH77)&gt;0,SUMIF(U73:AH73,AJ74,U77:AH77),0)</f>
        <v>0</v>
      </c>
    </row>
    <row r="76" spans="1:41">
      <c r="B76" s="481" t="s">
        <v>23</v>
      </c>
      <c r="C76" s="482">
        <f>SUM(U76:AH76)</f>
        <v>4.9799999978858978E-3</v>
      </c>
      <c r="D76" s="491">
        <f>SUM(F76:Q76)</f>
        <v>1181062.2835600001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39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J76" s="153" t="s">
        <v>309</v>
      </c>
      <c r="AK76" s="209">
        <v>431600</v>
      </c>
      <c r="AL76" s="7" t="s">
        <v>288</v>
      </c>
      <c r="AM76" s="7" t="s">
        <v>291</v>
      </c>
      <c r="AN76" s="472">
        <f>IF(SUMIF(U73:AH73,AJ74,U77:AH77)&lt;0,-SUMIF(U73:AH73,AJ74,U77:AH77),0)</f>
        <v>9.909098764722799</v>
      </c>
      <c r="AO76" s="462">
        <v>0</v>
      </c>
    </row>
    <row r="77" spans="1:41">
      <c r="B77" s="481" t="s">
        <v>4</v>
      </c>
      <c r="C77" s="482">
        <f t="shared" ref="C77:C78" si="40">SUM(U77:AH77)</f>
        <v>-119.35624088208631</v>
      </c>
      <c r="D77" s="491">
        <f>SUM(F77:Q77)</f>
        <v>-8149.5707289055363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f>(G75*(G74/12))+((G76/2)*(G74/12))</f>
        <v>-1173.2452857891722</v>
      </c>
      <c r="H77" s="489">
        <f>(H75*(H74/12))+((H76/2)*(H74/12))</f>
        <v>-1031.0182870023298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9">
        <f>((U75*(U74/12))+((U76/2)*(U74/12)))</f>
        <v>-9.9008501312800643</v>
      </c>
      <c r="V77" s="489">
        <f t="shared" ref="V77:AF77" si="41">((V75*(V74/12))+((V76/2)*(V74/12)))</f>
        <v>-9.909098764722799</v>
      </c>
      <c r="W77" s="489"/>
      <c r="X77" s="489"/>
      <c r="Y77" s="489">
        <f t="shared" si="41"/>
        <v>-9.9173563470267343</v>
      </c>
      <c r="Z77" s="489">
        <f t="shared" si="41"/>
        <v>-9.9256208106492583</v>
      </c>
      <c r="AA77" s="489">
        <f t="shared" si="41"/>
        <v>-9.933892161324799</v>
      </c>
      <c r="AB77" s="489">
        <f t="shared" si="41"/>
        <v>-9.9421704047925701</v>
      </c>
      <c r="AC77" s="489">
        <f t="shared" si="41"/>
        <v>-9.9504555467965634</v>
      </c>
      <c r="AD77" s="489">
        <f t="shared" si="41"/>
        <v>-9.9587475930855618</v>
      </c>
      <c r="AE77" s="489">
        <f t="shared" si="41"/>
        <v>-9.9670465494131317</v>
      </c>
      <c r="AF77" s="489">
        <f t="shared" si="41"/>
        <v>-9.975352421537643</v>
      </c>
      <c r="AG77" s="489">
        <f>((AG75*(AG74/12))+((AG76/2)*(AG74/12)))</f>
        <v>-9.983665215222258</v>
      </c>
      <c r="AH77" s="489">
        <f>((AH75*(AH74/12))+((AH76/2)*(AH74/12)))</f>
        <v>-9.9919849362349424</v>
      </c>
      <c r="AJ77" s="153" t="s">
        <v>312</v>
      </c>
      <c r="AK77" s="209">
        <v>191015</v>
      </c>
      <c r="AL77" s="7" t="s">
        <v>288</v>
      </c>
      <c r="AM77" s="7" t="s">
        <v>291</v>
      </c>
      <c r="AN77" s="472">
        <f>IF((SUMIF(U73:AH73,AJ74,U76:AH76)+SUMIF(U73:AH73,AJ74,U77:AH77))&gt;0,(SUMIF(U73:AH73,AJ74,U76:AH76)+SUMIF(U73:AH73,AJ74,U77:AH77)),0)</f>
        <v>0</v>
      </c>
      <c r="AO77" s="462">
        <f>IF((SUMIF(U73:AH73,AJ74,U76:AH76)+SUMIF(U73:AH73,AJ74,U77:AH77))&lt;0,-(SUMIF(U73:AH73,AJ74,U76:AH76)+SUMIF(U73:AH73,AJ74,U77:AH77)),0)</f>
        <v>9.909098764722799</v>
      </c>
    </row>
    <row r="78" spans="1:41">
      <c r="B78" s="481" t="s">
        <v>148</v>
      </c>
      <c r="C78" s="482">
        <f t="shared" si="40"/>
        <v>0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0</v>
      </c>
      <c r="V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J78" s="499" t="s">
        <v>313</v>
      </c>
      <c r="AK78" s="528">
        <v>805111</v>
      </c>
      <c r="AL78" s="358" t="s">
        <v>288</v>
      </c>
      <c r="AM78" s="358" t="s">
        <v>291</v>
      </c>
      <c r="AN78" s="381">
        <f>IF((SUMIF(U73:AH73,AJ74,U76:AH76))&lt;0,-(SUMIF(U73:AH73,AJ74,U76:AH76)),0)</f>
        <v>0</v>
      </c>
      <c r="AO78" s="500">
        <f>IF((SUMIF(U73:AH73,AJ74,U76:AH76))&gt;0,(SUMIF(U73:AH73,AJ74,U76:AH76)),0)</f>
        <v>0</v>
      </c>
    </row>
    <row r="79" spans="1:41" ht="16" thickBot="1">
      <c r="B79" s="481" t="s">
        <v>56</v>
      </c>
      <c r="C79" s="541"/>
      <c r="D79" s="541"/>
      <c r="E79" s="541">
        <f t="shared" ref="E79:H79" si="42">SUM(E75:E78)</f>
        <v>-1565571.2464083331</v>
      </c>
      <c r="F79" s="541">
        <f t="shared" si="42"/>
        <v>-1478312.2029470066</v>
      </c>
      <c r="G79" s="541">
        <f t="shared" si="42"/>
        <v>-1339478.1882327958</v>
      </c>
      <c r="H79" s="541">
        <f t="shared" si="42"/>
        <v>-1135996.718859798</v>
      </c>
      <c r="I79" s="541">
        <v>-962575.67419983121</v>
      </c>
      <c r="J79" s="541">
        <v>-785906.0743522977</v>
      </c>
      <c r="K79" s="541">
        <v>-649044.54606452456</v>
      </c>
      <c r="L79" s="541">
        <v>-566646.74091115326</v>
      </c>
      <c r="M79" s="541">
        <v>-521604.79837865423</v>
      </c>
      <c r="N79" s="541">
        <v>-484025.98660976981</v>
      </c>
      <c r="O79" s="541">
        <v>-455667.85197583633</v>
      </c>
      <c r="P79" s="541">
        <v>-425185.98752664123</v>
      </c>
      <c r="Q79" s="541">
        <v>-393486.99357723846</v>
      </c>
      <c r="R79" s="541">
        <v>-328715.06273061951</v>
      </c>
      <c r="S79" s="541">
        <v>-176703.47735926168</v>
      </c>
      <c r="T79" s="541">
        <v>-11881.022647536076</v>
      </c>
      <c r="U79" s="541">
        <f t="shared" ref="U79:AH79" si="43">SUM(U75:U78)</f>
        <v>-11890.918517667358</v>
      </c>
      <c r="V79" s="541">
        <f t="shared" si="43"/>
        <v>-11900.827616432081</v>
      </c>
      <c r="W79" s="541"/>
      <c r="X79" s="541"/>
      <c r="Y79" s="541">
        <f t="shared" si="43"/>
        <v>-11910.744972779108</v>
      </c>
      <c r="Z79" s="541">
        <f t="shared" si="43"/>
        <v>-11920.670593589757</v>
      </c>
      <c r="AA79" s="541">
        <f t="shared" si="43"/>
        <v>-11930.604485751082</v>
      </c>
      <c r="AB79" s="541">
        <f t="shared" si="43"/>
        <v>-11940.546656155875</v>
      </c>
      <c r="AC79" s="541">
        <f t="shared" si="43"/>
        <v>-11950.497111702673</v>
      </c>
      <c r="AD79" s="541">
        <f t="shared" si="43"/>
        <v>-11960.455859295758</v>
      </c>
      <c r="AE79" s="541">
        <f t="shared" si="43"/>
        <v>-11970.422905845171</v>
      </c>
      <c r="AF79" s="541">
        <f t="shared" si="43"/>
        <v>-11980.398258266709</v>
      </c>
      <c r="AG79" s="541">
        <f t="shared" si="43"/>
        <v>-11990.381923481931</v>
      </c>
      <c r="AH79" s="541">
        <f t="shared" si="43"/>
        <v>-12000.373908418165</v>
      </c>
      <c r="AJ79" s="499" t="s">
        <v>332</v>
      </c>
      <c r="AK79" s="528">
        <v>191015</v>
      </c>
      <c r="AL79" s="358" t="s">
        <v>288</v>
      </c>
      <c r="AM79" s="358" t="s">
        <v>291</v>
      </c>
      <c r="AN79" s="381">
        <v>0</v>
      </c>
      <c r="AO79" s="500">
        <v>9.9</v>
      </c>
    </row>
    <row r="80" spans="1:41" ht="16.5" thickTop="1" thickBot="1">
      <c r="B80" s="481" t="s">
        <v>260</v>
      </c>
      <c r="E80" s="482" t="e">
        <f ca="1">_xll.Get_Balance(E73,"YTD","USD","Total","A","","001",$A$73,"GD","ID","DL")</f>
        <v>#NAME?</v>
      </c>
      <c r="F80" s="482" t="e">
        <f ca="1">_xll.Get_Balance(F73,"YTD","USD","Total","A","","001",$A$73,"GD","ID","DL")</f>
        <v>#NAME?</v>
      </c>
      <c r="G80" s="482" t="e">
        <f ca="1">_xll.Get_Balance(G73,"YTD","USD","Total","A","","001",$A$73,"GD","ID","DL")</f>
        <v>#NAME?</v>
      </c>
      <c r="H80" s="482" t="e">
        <f ca="1">_xll.Get_Balance(H73,"YTD","USD","Total","A","","001",$A$73,"GD","ID","DL")</f>
        <v>#NAME?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 t="e">
        <f ca="1">_xll.Get_Balance(U73,"YTD","USD","Total","A","","001",$A$73,"GD","ID","DL")</f>
        <v>#NAME?</v>
      </c>
      <c r="V80" s="482" t="e">
        <f ca="1">_xll.Get_Balance(V73,"YTD","USD","Total","A","","001",$A$73,"GD","ID","DL")</f>
        <v>#NAME?</v>
      </c>
      <c r="Y80" s="482" t="e">
        <f ca="1">_xll.Get_Balance(Y73,"YTD","USD","Total","A","","001",$A$73,"GD","ID","DL")</f>
        <v>#NAME?</v>
      </c>
      <c r="Z80" s="482" t="e">
        <f ca="1">_xll.Get_Balance(Z73,"YTD","USD","Total","A","","001",$A$73,"GD","ID","DL")</f>
        <v>#NAME?</v>
      </c>
      <c r="AA80" s="482" t="e">
        <f ca="1">_xll.Get_Balance(AA73,"YTD","USD","Total","A","","001",$A$73,"GD","ID","DL")</f>
        <v>#NAME?</v>
      </c>
      <c r="AB80" s="482" t="e">
        <f ca="1">_xll.Get_Balance(AB73,"YTD","USD","Total","A","","001",$A$73,"GD","ID","DL")</f>
        <v>#NAME?</v>
      </c>
      <c r="AC80" s="482" t="e">
        <f ca="1">_xll.Get_Balance(AC73,"YTD","USD","Total","A","","001",$A$73,"GD","ID","DL")</f>
        <v>#NAME?</v>
      </c>
      <c r="AD80" s="482" t="e">
        <f ca="1">_xll.Get_Balance(AD73,"YTD","USD","Total","A","","001",$A$73,"GD","ID","DL")</f>
        <v>#NAME?</v>
      </c>
      <c r="AE80" s="482" t="e">
        <f ca="1">_xll.Get_Balance(AE73,"YTD","USD","Total","A","","001",$A$73,"GD","ID","DL")</f>
        <v>#NAME?</v>
      </c>
      <c r="AF80" s="482" t="e">
        <f ca="1">_xll.Get_Balance(AF73,"YTD","USD","Total","A","","001",$A$73,"GD","ID","DL")</f>
        <v>#NAME?</v>
      </c>
      <c r="AG80" s="482" t="e">
        <f ca="1">_xll.Get_Balance(AG73,"YTD","USD","Total","A","","001",$A$73,"GD","ID","DL")</f>
        <v>#NAME?</v>
      </c>
      <c r="AH80" s="482" t="e">
        <f ca="1">_xll.Get_Balance(AH73,"YTD","USD","Total","A","","001",$A$73,"GD","ID","DL")</f>
        <v>#NAME?</v>
      </c>
      <c r="AJ80" s="501" t="s">
        <v>332</v>
      </c>
      <c r="AK80" s="529">
        <v>431600</v>
      </c>
      <c r="AL80" s="502" t="s">
        <v>288</v>
      </c>
      <c r="AM80" s="502" t="s">
        <v>291</v>
      </c>
      <c r="AN80" s="464">
        <v>9.9</v>
      </c>
      <c r="AO80" s="521">
        <v>0</v>
      </c>
    </row>
    <row r="81" spans="2:41" ht="16" thickBot="1">
      <c r="B81" s="481" t="s">
        <v>245</v>
      </c>
      <c r="E81" s="482" t="e">
        <f t="shared" ref="E81:H81" ca="1" si="44">E79-E80</f>
        <v>#NAME?</v>
      </c>
      <c r="F81" s="482" t="e">
        <f t="shared" ca="1" si="44"/>
        <v>#NAME?</v>
      </c>
      <c r="G81" s="482" t="e">
        <f t="shared" ca="1" si="44"/>
        <v>#NAME?</v>
      </c>
      <c r="H81" s="482" t="e">
        <f t="shared" ca="1" si="44"/>
        <v>#NAME?</v>
      </c>
      <c r="I81" s="482">
        <v>0.70580016879830509</v>
      </c>
      <c r="J81" s="482">
        <v>0.70564770232886076</v>
      </c>
      <c r="K81" s="482">
        <v>0.70393547543790191</v>
      </c>
      <c r="L81" s="482">
        <v>0.69908884668257087</v>
      </c>
      <c r="M81" s="482">
        <v>0.701621345768217</v>
      </c>
      <c r="N81" s="482">
        <v>0.70339023019187152</v>
      </c>
      <c r="O81" s="482">
        <v>0.70802416367223486</v>
      </c>
      <c r="P81" s="482">
        <v>0.7124733587843366</v>
      </c>
      <c r="Q81" s="482">
        <v>0.71642276155762374</v>
      </c>
      <c r="R81" s="482">
        <v>0.71726938051870093</v>
      </c>
      <c r="S81" s="482">
        <v>0.71264073831844144</v>
      </c>
      <c r="T81" s="482">
        <v>0.71735246392381669</v>
      </c>
      <c r="U81" s="482" t="e">
        <f t="shared" ref="U81:AH81" ca="1" si="45">U79-U80</f>
        <v>#NAME?</v>
      </c>
      <c r="V81" s="482" t="e">
        <f t="shared" ca="1" si="45"/>
        <v>#NAME?</v>
      </c>
      <c r="Y81" s="482" t="e">
        <f t="shared" ca="1" si="45"/>
        <v>#NAME?</v>
      </c>
      <c r="Z81" s="482" t="e">
        <f t="shared" ca="1" si="45"/>
        <v>#NAME?</v>
      </c>
      <c r="AA81" s="482" t="e">
        <f t="shared" ca="1" si="45"/>
        <v>#NAME?</v>
      </c>
      <c r="AB81" s="482" t="e">
        <f t="shared" ca="1" si="45"/>
        <v>#NAME?</v>
      </c>
      <c r="AC81" s="482" t="e">
        <f t="shared" ca="1" si="45"/>
        <v>#NAME?</v>
      </c>
      <c r="AD81" s="482" t="e">
        <f t="shared" ca="1" si="45"/>
        <v>#NAME?</v>
      </c>
      <c r="AE81" s="482" t="e">
        <f t="shared" ca="1" si="45"/>
        <v>#NAME?</v>
      </c>
      <c r="AF81" s="482" t="e">
        <f t="shared" ca="1" si="45"/>
        <v>#NAME?</v>
      </c>
      <c r="AG81" s="482" t="e">
        <f t="shared" ca="1" si="45"/>
        <v>#NAME?</v>
      </c>
      <c r="AH81" s="482" t="e">
        <f t="shared" ca="1" si="45"/>
        <v>#NAME?</v>
      </c>
      <c r="AJ81" s="516"/>
      <c r="AK81" s="530"/>
      <c r="AL81" s="517"/>
      <c r="AM81" s="517"/>
      <c r="AN81" s="517" t="s">
        <v>159</v>
      </c>
      <c r="AO81" s="518">
        <f>SUM(AN75:AN80)-SUM(AO75:AO80)</f>
        <v>0</v>
      </c>
    </row>
    <row r="84" spans="2:41">
      <c r="AJ84" s="707" t="s">
        <v>331</v>
      </c>
      <c r="AK84" s="708"/>
      <c r="AL84" s="708"/>
      <c r="AM84" s="708"/>
      <c r="AN84" s="708"/>
      <c r="AO84" s="708"/>
    </row>
    <row r="85" spans="2:41">
      <c r="AJ85" s="708"/>
      <c r="AK85" s="708"/>
      <c r="AL85" s="708"/>
      <c r="AM85" s="708"/>
      <c r="AN85" s="708"/>
      <c r="AO85" s="708"/>
    </row>
    <row r="86" spans="2:41">
      <c r="AJ86" s="708"/>
      <c r="AK86" s="708"/>
      <c r="AL86" s="708"/>
      <c r="AM86" s="708"/>
      <c r="AN86" s="708"/>
      <c r="AO86" s="708"/>
    </row>
    <row r="87" spans="2:41">
      <c r="AJ87" s="708"/>
      <c r="AK87" s="708"/>
      <c r="AL87" s="708"/>
      <c r="AM87" s="708"/>
      <c r="AN87" s="708"/>
      <c r="AO87" s="708"/>
    </row>
    <row r="88" spans="2:41">
      <c r="AJ88" s="708"/>
      <c r="AK88" s="708"/>
      <c r="AL88" s="708"/>
      <c r="AM88" s="708"/>
      <c r="AN88" s="708"/>
      <c r="AO88" s="708"/>
    </row>
    <row r="89" spans="2:41">
      <c r="AJ89" s="708"/>
      <c r="AK89" s="708"/>
      <c r="AL89" s="708"/>
      <c r="AM89" s="708"/>
      <c r="AN89" s="708"/>
      <c r="AO89" s="708"/>
    </row>
    <row r="90" spans="2:41">
      <c r="AJ90" s="570" t="s">
        <v>308</v>
      </c>
      <c r="AK90" s="571">
        <v>419600</v>
      </c>
      <c r="AL90" s="572" t="s">
        <v>288</v>
      </c>
      <c r="AM90" s="572" t="s">
        <v>291</v>
      </c>
      <c r="AN90" s="573"/>
      <c r="AO90" s="574">
        <v>63.29</v>
      </c>
    </row>
    <row r="91" spans="2:41">
      <c r="M91" s="482">
        <v>13246436.58</v>
      </c>
      <c r="AA91" s="482" t="e">
        <f ca="1">_xll.GLW_Get_Balance("201409","YTD","USD","Total","A",,"001","808100","%","%","DL")</f>
        <v>#NAME?</v>
      </c>
      <c r="AJ91" s="575" t="s">
        <v>312</v>
      </c>
      <c r="AK91" s="209">
        <v>191015</v>
      </c>
      <c r="AL91" s="7" t="s">
        <v>288</v>
      </c>
      <c r="AM91" s="7" t="s">
        <v>291</v>
      </c>
      <c r="AN91" s="576">
        <v>175730.52</v>
      </c>
      <c r="AO91" s="577"/>
    </row>
    <row r="92" spans="2:41">
      <c r="AJ92" s="578" t="s">
        <v>313</v>
      </c>
      <c r="AK92" s="579">
        <v>805111</v>
      </c>
      <c r="AL92" s="580" t="s">
        <v>288</v>
      </c>
      <c r="AM92" s="580" t="s">
        <v>291</v>
      </c>
      <c r="AN92" s="581"/>
      <c r="AO92" s="582">
        <v>175667.22</v>
      </c>
    </row>
  </sheetData>
  <mergeCells count="2">
    <mergeCell ref="AJ67:AO72"/>
    <mergeCell ref="AJ84:AO89"/>
  </mergeCells>
  <conditionalFormatting sqref="E28 U28:X28 V61:X61">
    <cfRule type="cellIs" dxfId="245" priority="27" operator="notEqual">
      <formula>E27</formula>
    </cfRule>
  </conditionalFormatting>
  <conditionalFormatting sqref="F28">
    <cfRule type="cellIs" dxfId="244" priority="26" operator="notEqual">
      <formula>F27</formula>
    </cfRule>
  </conditionalFormatting>
  <conditionalFormatting sqref="G28">
    <cfRule type="cellIs" dxfId="243" priority="25" operator="notEqual">
      <formula>G27</formula>
    </cfRule>
  </conditionalFormatting>
  <conditionalFormatting sqref="H28">
    <cfRule type="cellIs" dxfId="242" priority="24" operator="notEqual">
      <formula>H27</formula>
    </cfRule>
  </conditionalFormatting>
  <conditionalFormatting sqref="C28">
    <cfRule type="cellIs" dxfId="241" priority="23" operator="notEqual">
      <formula>C27</formula>
    </cfRule>
  </conditionalFormatting>
  <conditionalFormatting sqref="F61">
    <cfRule type="cellIs" dxfId="240" priority="22" operator="notEqual">
      <formula>F60</formula>
    </cfRule>
  </conditionalFormatting>
  <conditionalFormatting sqref="G61">
    <cfRule type="cellIs" dxfId="239" priority="21" operator="notEqual">
      <formula>G60</formula>
    </cfRule>
  </conditionalFormatting>
  <conditionalFormatting sqref="H61">
    <cfRule type="cellIs" dxfId="238" priority="20" operator="notEqual">
      <formula>H60</formula>
    </cfRule>
  </conditionalFormatting>
  <conditionalFormatting sqref="C61">
    <cfRule type="cellIs" dxfId="237" priority="19" operator="notEqual">
      <formula>C60</formula>
    </cfRule>
  </conditionalFormatting>
  <conditionalFormatting sqref="I61">
    <cfRule type="cellIs" dxfId="236" priority="18" operator="notEqual">
      <formula>I60</formula>
    </cfRule>
  </conditionalFormatting>
  <conditionalFormatting sqref="AO81 AO48 AO11">
    <cfRule type="cellIs" dxfId="235" priority="17" operator="notEqual">
      <formula>0</formula>
    </cfRule>
  </conditionalFormatting>
  <conditionalFormatting sqref="I28">
    <cfRule type="cellIs" dxfId="234" priority="16" operator="notEqual">
      <formula>I27</formula>
    </cfRule>
  </conditionalFormatting>
  <conditionalFormatting sqref="J28">
    <cfRule type="cellIs" dxfId="233" priority="15" operator="notEqual">
      <formula>J27</formula>
    </cfRule>
  </conditionalFormatting>
  <conditionalFormatting sqref="J61">
    <cfRule type="cellIs" dxfId="232" priority="14" operator="notEqual">
      <formula>J60</formula>
    </cfRule>
  </conditionalFormatting>
  <conditionalFormatting sqref="K28">
    <cfRule type="cellIs" dxfId="231" priority="13" operator="notEqual">
      <formula>K27</formula>
    </cfRule>
  </conditionalFormatting>
  <conditionalFormatting sqref="K61">
    <cfRule type="cellIs" dxfId="230" priority="12" operator="notEqual">
      <formula>K60</formula>
    </cfRule>
  </conditionalFormatting>
  <conditionalFormatting sqref="L28:M28">
    <cfRule type="cellIs" dxfId="229" priority="11" operator="notEqual">
      <formula>L27</formula>
    </cfRule>
  </conditionalFormatting>
  <conditionalFormatting sqref="N28">
    <cfRule type="cellIs" dxfId="228" priority="10" operator="notEqual">
      <formula>N27</formula>
    </cfRule>
  </conditionalFormatting>
  <conditionalFormatting sqref="U61">
    <cfRule type="cellIs" dxfId="227" priority="9" operator="notEqual">
      <formula>U60</formula>
    </cfRule>
  </conditionalFormatting>
  <conditionalFormatting sqref="Y28">
    <cfRule type="cellIs" dxfId="226" priority="5" operator="notEqual">
      <formula>Y27</formula>
    </cfRule>
  </conditionalFormatting>
  <conditionalFormatting sqref="Y61">
    <cfRule type="cellIs" dxfId="225" priority="4" operator="notEqual">
      <formula>Y60</formula>
    </cfRule>
  </conditionalFormatting>
  <conditionalFormatting sqref="Z28:AA28">
    <cfRule type="cellIs" dxfId="224" priority="3" operator="notEqual">
      <formula>Z27</formula>
    </cfRule>
  </conditionalFormatting>
  <conditionalFormatting sqref="AB28">
    <cfRule type="cellIs" dxfId="223" priority="2" operator="notEqual">
      <formula>AB27</formula>
    </cfRule>
  </conditionalFormatting>
  <conditionalFormatting sqref="AO57">
    <cfRule type="cellIs" dxfId="222" priority="1" operator="notEqual">
      <formula>0</formula>
    </cfRule>
  </conditionalFormatting>
  <pageMargins left="0" right="0" top="0.75" bottom="0.75" header="0.3" footer="0.3"/>
  <pageSetup scale="47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>
    <tabColor theme="8" tint="0.59999389629810485"/>
    <pageSetUpPr fitToPage="1"/>
  </sheetPr>
  <dimension ref="A1:AM80"/>
  <sheetViews>
    <sheetView zoomScale="85" zoomScaleNormal="85" zoomScaleSheetLayoutView="85" workbookViewId="0">
      <selection activeCell="U52" sqref="U52"/>
    </sheetView>
  </sheetViews>
  <sheetFormatPr defaultColWidth="9.09765625" defaultRowHeight="15.5"/>
  <cols>
    <col min="1" max="1" width="17.296875" style="482" customWidth="1"/>
    <col min="2" max="2" width="18.69921875" style="481" bestFit="1" customWidth="1"/>
    <col min="3" max="3" width="16.09765625" style="482" customWidth="1"/>
    <col min="4" max="4" width="16.296875" style="482" customWidth="1"/>
    <col min="5" max="5" width="15.59765625" style="482" hidden="1" customWidth="1"/>
    <col min="6" max="6" width="18.296875" style="482" hidden="1" customWidth="1"/>
    <col min="7" max="7" width="16.296875" style="482" hidden="1" customWidth="1"/>
    <col min="8" max="9" width="19.8984375" style="482" hidden="1" customWidth="1"/>
    <col min="10" max="10" width="16.296875" style="482" hidden="1" customWidth="1"/>
    <col min="11" max="11" width="21.59765625" style="482" hidden="1" customWidth="1"/>
    <col min="12" max="18" width="16.296875" style="482" hidden="1" customWidth="1"/>
    <col min="19" max="20" width="16.296875" style="482" customWidth="1"/>
    <col min="21" max="21" width="19.8984375" style="482" customWidth="1"/>
    <col min="22" max="22" width="16.296875" style="482" customWidth="1"/>
    <col min="23" max="23" width="21.59765625" style="482" customWidth="1"/>
    <col min="24" max="25" width="16.296875" style="482" customWidth="1"/>
    <col min="26" max="32" width="16.296875" style="482" hidden="1" customWidth="1"/>
    <col min="33" max="33" width="11.69921875" style="482" customWidth="1"/>
    <col min="34" max="34" width="37.8984375" style="482" bestFit="1" customWidth="1"/>
    <col min="35" max="35" width="14.3984375" style="525" bestFit="1" customWidth="1"/>
    <col min="36" max="36" width="4.69921875" style="482" bestFit="1" customWidth="1"/>
    <col min="37" max="37" width="5" style="482" bestFit="1" customWidth="1"/>
    <col min="38" max="38" width="18.296875" style="482" customWidth="1"/>
    <col min="39" max="39" width="17.09765625" style="482" bestFit="1" customWidth="1"/>
    <col min="40" max="40" width="0.3984375" style="482" customWidth="1"/>
    <col min="41" max="16384" width="9.09765625" style="482"/>
  </cols>
  <sheetData>
    <row r="1" spans="1:39">
      <c r="A1" s="480" t="s">
        <v>265</v>
      </c>
      <c r="AH1" s="480" t="s">
        <v>315</v>
      </c>
    </row>
    <row r="2" spans="1:39">
      <c r="A2" s="483" t="s">
        <v>266</v>
      </c>
    </row>
    <row r="3" spans="1:39" s="483" customFormat="1" ht="31.5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 t="shared" ref="AF3" si="1">AE3+1</f>
        <v>201512</v>
      </c>
      <c r="AI3" s="484"/>
    </row>
    <row r="4" spans="1:39" s="483" customFormat="1" ht="16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H4" s="544">
        <v>201503</v>
      </c>
      <c r="AI4" s="526"/>
      <c r="AJ4" s="514"/>
      <c r="AK4" s="514"/>
      <c r="AL4" s="514"/>
      <c r="AM4" s="515"/>
    </row>
    <row r="5" spans="1:39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f>T13</f>
        <v>-165690.83250377711</v>
      </c>
      <c r="V5" s="482">
        <f>U13</f>
        <v>-1154882.2995837759</v>
      </c>
      <c r="W5" s="482">
        <f t="shared" ref="W5:AD5" si="2">V13</f>
        <v>-1883329.5456927749</v>
      </c>
      <c r="X5" s="482">
        <f t="shared" si="2"/>
        <v>-872806.43822777225</v>
      </c>
      <c r="Y5" s="482">
        <f t="shared" si="2"/>
        <v>-2958928.1051397733</v>
      </c>
      <c r="Z5" s="482">
        <f t="shared" si="2"/>
        <v>-3130951.6433777721</v>
      </c>
      <c r="AA5" s="482">
        <f t="shared" si="2"/>
        <v>-3303280.8788877735</v>
      </c>
      <c r="AB5" s="482">
        <f t="shared" si="2"/>
        <v>-3655565.6113057714</v>
      </c>
      <c r="AC5" s="482">
        <f t="shared" si="2"/>
        <v>-3746891.4609457697</v>
      </c>
      <c r="AD5" s="482">
        <f t="shared" si="2"/>
        <v>-4947970.1450077714</v>
      </c>
      <c r="AE5" s="482">
        <f>AD13</f>
        <v>-6092992.7783727711</v>
      </c>
      <c r="AF5" s="482">
        <f t="shared" ref="AF5" si="3">AE13</f>
        <v>-7722129.4345627688</v>
      </c>
      <c r="AH5" s="497" t="s">
        <v>294</v>
      </c>
      <c r="AI5" s="527">
        <v>419600</v>
      </c>
      <c r="AJ5" s="498" t="s">
        <v>288</v>
      </c>
      <c r="AK5" s="498" t="s">
        <v>289</v>
      </c>
      <c r="AL5" s="519">
        <v>0</v>
      </c>
      <c r="AM5" s="520">
        <f>IF(SUMIF(U3:AF3,AH4,U8:AF8)&gt;0,SUMIF(U3:AF3,AH4,U8:AF8),0)</f>
        <v>0</v>
      </c>
    </row>
    <row r="6" spans="1:39">
      <c r="B6" s="481" t="s">
        <v>254</v>
      </c>
      <c r="C6" s="482">
        <f>SUM(U6:AF6)</f>
        <v>-10042423.246235993</v>
      </c>
      <c r="D6" s="482">
        <f>-2523837.34+SUM(E6:N6,E9:T9)</f>
        <v>4.5212078839540482E-3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f>Jan!$H$53</f>
        <v>688681.53940400109</v>
      </c>
      <c r="V6" s="482">
        <f>Feb!$H$53</f>
        <v>0</v>
      </c>
      <c r="W6" s="482">
        <f>Mar!$H$53</f>
        <v>1135107.4385570027</v>
      </c>
      <c r="X6" s="482">
        <f>Apr!$H$53</f>
        <v>-2310603.7085020011</v>
      </c>
      <c r="Y6" s="482">
        <f>May!$H$53</f>
        <v>-1026688.9535339989</v>
      </c>
      <c r="Z6" s="482">
        <f>Jun!$H$53</f>
        <v>-1511176.335440001</v>
      </c>
      <c r="AA6" s="482">
        <f>Jul!$H$53</f>
        <v>-1483614.197077998</v>
      </c>
      <c r="AB6" s="482">
        <f>Aug!$H$53</f>
        <v>-1288286.6270379988</v>
      </c>
      <c r="AC6" s="482">
        <f>Sep!$H$53</f>
        <v>-2088616.5970920017</v>
      </c>
      <c r="AD6" s="482">
        <f>Oct!$H$55</f>
        <v>-1862270.5500129997</v>
      </c>
      <c r="AE6" s="482">
        <f>Nov!$H$55</f>
        <v>-294955.25549999811</v>
      </c>
      <c r="AF6" s="482">
        <f>Dec!$H$53</f>
        <v>0</v>
      </c>
      <c r="AH6" s="499" t="s">
        <v>295</v>
      </c>
      <c r="AI6" s="528">
        <v>431600</v>
      </c>
      <c r="AJ6" s="358" t="s">
        <v>288</v>
      </c>
      <c r="AK6" s="358" t="s">
        <v>289</v>
      </c>
      <c r="AL6" s="381">
        <f>IF(SUMIF(U3:AF3,AH4,U8:AF8)&lt;0,-SUMIF(U3:AF3,AH4,U8:AF8),0)</f>
        <v>3727.22</v>
      </c>
      <c r="AM6" s="500">
        <v>0</v>
      </c>
    </row>
    <row r="7" spans="1:39">
      <c r="B7" s="481" t="s">
        <v>255</v>
      </c>
      <c r="C7" s="482">
        <f t="shared" ref="C7:C12" si="4">SUM(U7:AF7)</f>
        <v>2652361.2041769996</v>
      </c>
      <c r="D7" s="482">
        <f>5059705.37+SUM(E7:N7,E10:T10)</f>
        <v>-2.4999678134918213E-4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f>Jan!$I$53</f>
        <v>-1606244.3564840001</v>
      </c>
      <c r="V7" s="482">
        <f>Feb!$I$53</f>
        <v>-724338.56610899908</v>
      </c>
      <c r="W7" s="482">
        <f>Mar!$I$53</f>
        <v>-120857.11109200004</v>
      </c>
      <c r="X7" s="482">
        <f>Apr!$I$53</f>
        <v>229663.83159000031</v>
      </c>
      <c r="Y7" s="482">
        <f>May!$I$53</f>
        <v>862900.97529599979</v>
      </c>
      <c r="Z7" s="482">
        <f>Jun!$I$53</f>
        <v>1347548.3399299998</v>
      </c>
      <c r="AA7" s="482">
        <f>Jul!$I$53</f>
        <v>1140740.15466</v>
      </c>
      <c r="AB7" s="482">
        <f>Aug!$I$53</f>
        <v>1206971.3773980001</v>
      </c>
      <c r="AC7" s="482">
        <f>Sep!$I$53</f>
        <v>899296.28302999982</v>
      </c>
      <c r="AD7" s="482">
        <f>Oct!$I$55</f>
        <v>732178.99664799974</v>
      </c>
      <c r="AE7" s="563">
        <f>Nov!$I$55</f>
        <v>-1315498.7206899999</v>
      </c>
      <c r="AF7" s="482">
        <f>Dec!$I$53</f>
        <v>0</v>
      </c>
      <c r="AH7" s="499" t="s">
        <v>296</v>
      </c>
      <c r="AI7" s="528">
        <v>191010</v>
      </c>
      <c r="AJ7" s="358" t="s">
        <v>288</v>
      </c>
      <c r="AK7" s="358" t="s">
        <v>289</v>
      </c>
      <c r="AL7" s="381">
        <f>IF((SUMIF(U3:AF3,AH4,U6:AF6)+SUMIF(U3:AF3,AH4,U7:AF7)+SUMIF(U3:AF3,AH4,U8:AF8))&gt;0,(SUMIF(U3:AF3,AH4,U6:AF6)+SUMIF(U3:AF3,AH4,U7:AF7)+SUMIF(U3:AF3,AH4,U8:AF8)),0)</f>
        <v>1010523.1074650027</v>
      </c>
      <c r="AM7" s="500">
        <f>IF((SUMIF(U3:AF3,AH4,U6:AF6)+SUMIF(U3:AF3,AH4,U7:AF7)+SUMIF(U3:AF3,AH4,U8:AF8))&lt;0,-(SUMIF(U3:AF3,AH4,U6:AF6)+SUMIF(U3:AF3,AH4,U7:AF7)++SUMIF(U3:AF3,AH4,U8:AF8)),0)</f>
        <v>0</v>
      </c>
    </row>
    <row r="8" spans="1:39">
      <c r="B8" s="481" t="s">
        <v>258</v>
      </c>
      <c r="C8" s="482">
        <f t="shared" si="4"/>
        <v>-117353.29000000001</v>
      </c>
      <c r="D8" s="482">
        <f>-38846.64+SUM(E8:N8,E11:T11)</f>
        <v>5.9999999990395736E-2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5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f t="shared" ref="U8:AC8" si="6">ROUND(((U5)*(U4/12))+((SUM(U6:U7)/2)*(U4/12)),2)</f>
        <v>-1691.28</v>
      </c>
      <c r="V8" s="489">
        <f>ROUND(((V5)*(V4/12))+((SUM(V6:V7)/2)*(V4/12)),2)</f>
        <v>-4108.68</v>
      </c>
      <c r="W8" s="489">
        <f t="shared" si="6"/>
        <v>-3727.22</v>
      </c>
      <c r="X8" s="489">
        <f t="shared" si="6"/>
        <v>-5181.79</v>
      </c>
      <c r="Y8" s="489">
        <f t="shared" si="6"/>
        <v>-8235.56</v>
      </c>
      <c r="Z8" s="489">
        <f t="shared" si="6"/>
        <v>-8701.24</v>
      </c>
      <c r="AA8" s="489">
        <f t="shared" si="6"/>
        <v>-9410.69</v>
      </c>
      <c r="AB8" s="489">
        <f t="shared" si="6"/>
        <v>-10010.6</v>
      </c>
      <c r="AC8" s="489">
        <f t="shared" si="6"/>
        <v>-11758.37</v>
      </c>
      <c r="AD8" s="489">
        <f>ROUND(((AD5)*(AD4/12))+((SUM(AD6:AD7)/2)*(AD4/12)),2)</f>
        <v>-14931.08</v>
      </c>
      <c r="AE8" s="560">
        <f>ROUND(((AE5+AE9+AE10+AE11)*(AE4/12))+((SUM(AE6:AE7)/2)*(AE4/12)),2)</f>
        <v>-18682.68</v>
      </c>
      <c r="AF8" s="489">
        <f>ROUND(((AF5)*(AF4/12))+((SUM(AF6:AF7)/2)*(AF4/12)),2)</f>
        <v>-20914.099999999999</v>
      </c>
      <c r="AH8" s="499" t="s">
        <v>297</v>
      </c>
      <c r="AI8" s="528">
        <v>805120</v>
      </c>
      <c r="AJ8" s="358" t="s">
        <v>288</v>
      </c>
      <c r="AK8" s="358" t="s">
        <v>289</v>
      </c>
      <c r="AL8" s="381">
        <f>IF((SUMIF(U3:AF3,AH4,U6:AF6)+SUMIF(U3:AF3,AH4,U7:AF7))&lt;0,-(SUMIF(U3:AF3,AH4,U6:AF6)+SUMIF(U3:AF3,AH4,U7:AF7)),0)</f>
        <v>0</v>
      </c>
      <c r="AM8" s="500">
        <f>IF((SUMIF(U3:AF3,AH4,U6:AF6)+SUMIF(U3:AF3,AH4,U7:AF7))&gt;0,(SUMIF(U3:AF3,AH4,U6:AF6)+SUMIF(U3:AF3,AH4,U7:AF7)),0)</f>
        <v>1014250.3274650027</v>
      </c>
    </row>
    <row r="9" spans="1:39">
      <c r="B9" s="481" t="s">
        <v>262</v>
      </c>
      <c r="C9" s="482">
        <f t="shared" si="4"/>
        <v>-69937.37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63">
        <v>0</v>
      </c>
      <c r="AF9" s="482">
        <v>0</v>
      </c>
      <c r="AH9" s="499" t="s">
        <v>11</v>
      </c>
      <c r="AI9" s="528">
        <v>191010</v>
      </c>
      <c r="AJ9" s="358" t="s">
        <v>288</v>
      </c>
      <c r="AK9" s="358" t="s">
        <v>289</v>
      </c>
      <c r="AL9" s="381">
        <v>0</v>
      </c>
      <c r="AM9" s="500">
        <v>0</v>
      </c>
    </row>
    <row r="10" spans="1:39" ht="16" thickBot="1">
      <c r="B10" s="481" t="s">
        <v>263</v>
      </c>
      <c r="C10" s="482">
        <f t="shared" si="4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63">
        <v>0</v>
      </c>
      <c r="AF10" s="482">
        <v>0</v>
      </c>
      <c r="AH10" s="501" t="str">
        <f>AH9</f>
        <v>Tracker Transfer</v>
      </c>
      <c r="AI10" s="529">
        <f>AI41</f>
        <v>191000</v>
      </c>
      <c r="AJ10" s="529" t="str">
        <f>AJ41</f>
        <v>GD</v>
      </c>
      <c r="AK10" s="529" t="str">
        <f>AK41</f>
        <v>WA</v>
      </c>
      <c r="AL10" s="503">
        <v>0</v>
      </c>
      <c r="AM10" s="521">
        <f>AL9</f>
        <v>0</v>
      </c>
    </row>
    <row r="11" spans="1:39" ht="16" thickBot="1">
      <c r="B11" s="481" t="s">
        <v>264</v>
      </c>
      <c r="C11" s="482">
        <f t="shared" si="4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63">
        <v>0</v>
      </c>
      <c r="AF11" s="482">
        <v>0</v>
      </c>
      <c r="AH11" s="516"/>
      <c r="AI11" s="530"/>
      <c r="AJ11" s="517"/>
      <c r="AK11" s="517"/>
      <c r="AL11" s="517" t="s">
        <v>159</v>
      </c>
      <c r="AM11" s="518">
        <f>SUM(AL5:AL10)-SUM(AM5:AM10)</f>
        <v>0</v>
      </c>
    </row>
    <row r="12" spans="1:39">
      <c r="B12" s="481" t="s">
        <v>148</v>
      </c>
      <c r="C12" s="482">
        <f t="shared" si="4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0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</row>
    <row r="13" spans="1:39" ht="16" thickBot="1">
      <c r="B13" s="481" t="s">
        <v>56</v>
      </c>
      <c r="C13" s="541">
        <f>SUM(C5:C12)</f>
        <v>-7577352.7020589933</v>
      </c>
      <c r="D13" s="541"/>
      <c r="E13" s="541">
        <f>SUM(E5:E12)</f>
        <v>2712780.2600000002</v>
      </c>
      <c r="F13" s="541">
        <f t="shared" ref="F13:H13" si="7">SUM(F5:F12)</f>
        <v>2255013.9900000002</v>
      </c>
      <c r="G13" s="541">
        <f>SUM(G5:G12)</f>
        <v>-33498.738666789999</v>
      </c>
      <c r="H13" s="541">
        <f t="shared" si="7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f t="shared" ref="U13:X13" si="8">SUM(U5:U12)</f>
        <v>-1154882.2995837759</v>
      </c>
      <c r="V13" s="541">
        <f t="shared" si="8"/>
        <v>-1883329.5456927749</v>
      </c>
      <c r="W13" s="541">
        <f t="shared" si="8"/>
        <v>-872806.43822777225</v>
      </c>
      <c r="X13" s="541">
        <f t="shared" si="8"/>
        <v>-2958928.1051397733</v>
      </c>
      <c r="Y13" s="541">
        <f>SUM(Y5:Y12)</f>
        <v>-3130951.6433777721</v>
      </c>
      <c r="Z13" s="541">
        <f t="shared" ref="Z13:AF13" si="9">SUM(Z5:Z12)</f>
        <v>-3303280.8788877735</v>
      </c>
      <c r="AA13" s="541">
        <f t="shared" si="9"/>
        <v>-3655565.6113057714</v>
      </c>
      <c r="AB13" s="541">
        <f t="shared" si="9"/>
        <v>-3746891.4609457697</v>
      </c>
      <c r="AC13" s="541">
        <f t="shared" si="9"/>
        <v>-4947970.1450077714</v>
      </c>
      <c r="AD13" s="541">
        <f t="shared" si="9"/>
        <v>-6092992.7783727711</v>
      </c>
      <c r="AE13" s="541">
        <f t="shared" si="9"/>
        <v>-7722129.4345627688</v>
      </c>
      <c r="AF13" s="541">
        <f t="shared" si="9"/>
        <v>-7743043.5345627684</v>
      </c>
    </row>
    <row r="14" spans="1:39" ht="16" thickTop="1">
      <c r="B14" s="481" t="s">
        <v>260</v>
      </c>
      <c r="E14" s="482" t="e">
        <f ca="1">_xll.Get_Balance(E3,"YTD","USD","Total","A","","001",$A$3,"GD","WA","DL")</f>
        <v>#NAME?</v>
      </c>
      <c r="F14" s="482" t="e">
        <f ca="1">_xll.Get_Balance(F3,"YTD","USD","Total","A","","001",$A$3,"GD","WA","DL")</f>
        <v>#NAME?</v>
      </c>
      <c r="G14" s="482" t="e">
        <f ca="1">_xll.Get_Balance(G3,"YTD","USD","Total","A","","001",$A$3,"GD","WA","DL")</f>
        <v>#NAME?</v>
      </c>
      <c r="H14" s="482" t="e">
        <f ca="1">_xll.Get_Balance(H3,"YTD","USD","Total","A","","001",$A$3,"GD","WA","DL")</f>
        <v>#NAME?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 t="e">
        <f ca="1">_xll.Get_Balance(U3,"YTD","USD","Total","A","","001",$A$3,"GD","WA","DL")</f>
        <v>#NAME?</v>
      </c>
      <c r="V14" s="482" t="e">
        <f ca="1">_xll.Get_Balance(V3,"YTD","USD","Total","A","","001",$A$3,"GD","WA","DL")</f>
        <v>#NAME?</v>
      </c>
      <c r="W14" s="482" t="e">
        <f ca="1">_xll.Get_Balance(W3,"YTD","USD","Total","A","","001",$A$3,"GD","WA","DL")</f>
        <v>#NAME?</v>
      </c>
      <c r="X14" s="482" t="e">
        <f ca="1">_xll.Get_Balance(X3,"YTD","USD","Total","A","","001",$A$3,"GD","WA","DL")</f>
        <v>#NAME?</v>
      </c>
      <c r="Y14" s="482" t="e">
        <f ca="1">_xll.Get_Balance(Y3,"YTD","USD","Total","A","","001",$A$3,"GD","WA","DL")</f>
        <v>#NAME?</v>
      </c>
      <c r="Z14" s="482" t="e">
        <f ca="1">_xll.Get_Balance(Z3,"YTD","USD","Total","A","","001",$A$3,"GD","WA","DL")</f>
        <v>#NAME?</v>
      </c>
      <c r="AA14" s="482" t="e">
        <f ca="1">_xll.Get_Balance(AA3,"YTD","USD","Total","A","","001",$A$3,"GD","WA","DL")</f>
        <v>#NAME?</v>
      </c>
      <c r="AB14" s="482" t="e">
        <f ca="1">_xll.Get_Balance(AB3,"YTD","USD","Total","A","","001",$A$3,"GD","WA","DL")</f>
        <v>#NAME?</v>
      </c>
      <c r="AC14" s="482" t="e">
        <f ca="1">_xll.Get_Balance(AC3,"YTD","USD","Total","A","","001",$A$3,"GD","WA","DL")</f>
        <v>#NAME?</v>
      </c>
      <c r="AD14" s="482" t="e">
        <f ca="1">_xll.Get_Balance(AD3,"YTD","USD","Total","A","","001",$A$3,"GD","WA","DL")</f>
        <v>#NAME?</v>
      </c>
      <c r="AE14" s="482" t="e">
        <f ca="1">_xll.Get_Balance(AE3,"YTD","USD","Total","A","","001",$A$3,"GD","WA","DL")</f>
        <v>#NAME?</v>
      </c>
      <c r="AF14" s="482" t="e">
        <f ca="1">_xll.Get_Balance(AF3,"YTD","USD","Total","A","","001",$A$3,"GD","WA","DL")</f>
        <v>#NAME?</v>
      </c>
    </row>
    <row r="15" spans="1:39">
      <c r="B15" s="481" t="s">
        <v>245</v>
      </c>
      <c r="E15" s="482" t="e">
        <f t="shared" ref="E15:H15" ca="1" si="10">E13-E14</f>
        <v>#NAME?</v>
      </c>
      <c r="F15" s="482" t="e">
        <f t="shared" ca="1" si="10"/>
        <v>#NAME?</v>
      </c>
      <c r="G15" s="482" t="e">
        <f t="shared" ca="1" si="10"/>
        <v>#NAME?</v>
      </c>
      <c r="H15" s="482" t="e">
        <f t="shared" ca="1" si="10"/>
        <v>#NAME?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 t="e">
        <f ca="1">U13-U14</f>
        <v>#NAME?</v>
      </c>
      <c r="V15" s="482" t="e">
        <f t="shared" ref="V15:AF15" ca="1" si="11">V13-V14</f>
        <v>#NAME?</v>
      </c>
      <c r="W15" s="482" t="e">
        <f t="shared" ca="1" si="11"/>
        <v>#NAME?</v>
      </c>
      <c r="X15" s="482" t="e">
        <f t="shared" ca="1" si="11"/>
        <v>#NAME?</v>
      </c>
      <c r="Y15" s="482" t="e">
        <f t="shared" ca="1" si="11"/>
        <v>#NAME?</v>
      </c>
      <c r="Z15" s="482" t="e">
        <f t="shared" ca="1" si="11"/>
        <v>#NAME?</v>
      </c>
      <c r="AA15" s="482" t="e">
        <f t="shared" ca="1" si="11"/>
        <v>#NAME?</v>
      </c>
      <c r="AB15" s="482" t="e">
        <f t="shared" ca="1" si="11"/>
        <v>#NAME?</v>
      </c>
      <c r="AC15" s="482" t="e">
        <f t="shared" ca="1" si="11"/>
        <v>#NAME?</v>
      </c>
      <c r="AD15" s="482" t="e">
        <f t="shared" ca="1" si="11"/>
        <v>#NAME?</v>
      </c>
      <c r="AE15" s="482" t="e">
        <f t="shared" ca="1" si="11"/>
        <v>#NAME?</v>
      </c>
      <c r="AF15" s="482" t="e">
        <f t="shared" ca="1" si="11"/>
        <v>#NAME?</v>
      </c>
    </row>
    <row r="16" spans="1:39">
      <c r="A16" s="483" t="s">
        <v>268</v>
      </c>
    </row>
    <row r="17" spans="1:33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</row>
    <row r="18" spans="1:33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</row>
    <row r="19" spans="1:33">
      <c r="A19" s="483"/>
      <c r="B19" s="481" t="s">
        <v>37</v>
      </c>
      <c r="C19" s="491">
        <f>SUM(U19:AF19)</f>
        <v>83964548</v>
      </c>
      <c r="D19" s="491">
        <f t="shared" ref="D19:D28" si="14">SUM(G19:R19)</f>
        <v>118507804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f>Jan!$G23</f>
        <v>19909674</v>
      </c>
      <c r="V19" s="543">
        <f>Feb!$G23</f>
        <v>13011547</v>
      </c>
      <c r="W19" s="543">
        <f>Mar!$G23</f>
        <v>10479005</v>
      </c>
      <c r="X19" s="543">
        <f>Apr!$G23</f>
        <v>7714478</v>
      </c>
      <c r="Y19" s="543">
        <f>May!$G23</f>
        <v>3297360</v>
      </c>
      <c r="Z19" s="543">
        <f>Jun!$G23</f>
        <v>1968489</v>
      </c>
      <c r="AA19" s="543">
        <f>Jul!$G23</f>
        <v>2145139</v>
      </c>
      <c r="AB19" s="543">
        <f>Aug!$G23</f>
        <v>1956853</v>
      </c>
      <c r="AC19" s="543">
        <f>Sep!$G23</f>
        <v>3273457</v>
      </c>
      <c r="AD19" s="543">
        <f>Oct!$G23</f>
        <v>4833518</v>
      </c>
      <c r="AE19" s="543">
        <f>Nov!$G23</f>
        <v>15375028</v>
      </c>
      <c r="AF19" s="543">
        <f>Dec!$G23</f>
        <v>0</v>
      </c>
    </row>
    <row r="20" spans="1:33">
      <c r="A20" s="483"/>
      <c r="B20" s="481" t="s">
        <v>38</v>
      </c>
      <c r="C20" s="491">
        <f t="shared" ref="C20:C27" si="15">SUM(U20:AF20)</f>
        <v>35336899</v>
      </c>
      <c r="D20" s="491">
        <f t="shared" si="14"/>
        <v>47081391</v>
      </c>
      <c r="E20" s="491">
        <v>1599551</v>
      </c>
      <c r="F20" s="491">
        <v>3880001</v>
      </c>
      <c r="G20" s="491">
        <v>5651303</v>
      </c>
      <c r="H20" s="491">
        <v>7518125</v>
      </c>
      <c r="I20" s="543">
        <v>7025543</v>
      </c>
      <c r="J20" s="543">
        <v>6903553</v>
      </c>
      <c r="K20" s="543">
        <v>5310734</v>
      </c>
      <c r="L20" s="543">
        <v>3390429</v>
      </c>
      <c r="M20" s="543">
        <v>2183609</v>
      </c>
      <c r="N20" s="543">
        <v>1741655</v>
      </c>
      <c r="O20" s="543">
        <v>1476567</v>
      </c>
      <c r="P20" s="543">
        <v>1364087</v>
      </c>
      <c r="Q20" s="543">
        <v>1739755</v>
      </c>
      <c r="R20" s="543">
        <v>2776031</v>
      </c>
      <c r="S20" s="543">
        <v>6141604</v>
      </c>
      <c r="T20" s="543">
        <v>6045485</v>
      </c>
      <c r="U20" s="543">
        <f>Jan!$G24</f>
        <v>6173752</v>
      </c>
      <c r="V20" s="543">
        <f>Feb!$G24</f>
        <v>5630395</v>
      </c>
      <c r="W20" s="543">
        <f>Mar!$G24</f>
        <v>4030672</v>
      </c>
      <c r="X20" s="543">
        <f>Apr!$G24</f>
        <v>3448422</v>
      </c>
      <c r="Y20" s="543">
        <f>May!$G24</f>
        <v>1901440</v>
      </c>
      <c r="Z20" s="543">
        <f>Jun!$G24</f>
        <v>1561904</v>
      </c>
      <c r="AA20" s="543">
        <f>Jul!$G24</f>
        <v>1323231</v>
      </c>
      <c r="AB20" s="543">
        <f>Aug!$G24</f>
        <v>1284422</v>
      </c>
      <c r="AC20" s="543">
        <f>Sep!$G24</f>
        <v>1854848</v>
      </c>
      <c r="AD20" s="543">
        <f>Oct!$G25</f>
        <v>2624293</v>
      </c>
      <c r="AE20" s="543">
        <f>Nov!$G25</f>
        <v>5503520</v>
      </c>
      <c r="AF20" s="543">
        <f>Dec!$G24</f>
        <v>0</v>
      </c>
    </row>
    <row r="21" spans="1:33" hidden="1">
      <c r="A21" s="483"/>
      <c r="B21" s="481" t="s">
        <v>39</v>
      </c>
      <c r="C21" s="491">
        <f t="shared" si="15"/>
        <v>0</v>
      </c>
      <c r="D21" s="491">
        <f t="shared" si="14"/>
        <v>0</v>
      </c>
      <c r="E21" s="491">
        <v>0</v>
      </c>
      <c r="F21" s="491">
        <v>0</v>
      </c>
      <c r="G21" s="491">
        <v>0</v>
      </c>
      <c r="H21" s="491">
        <v>0</v>
      </c>
      <c r="I21" s="543"/>
      <c r="J21" s="543"/>
      <c r="K21" s="543"/>
      <c r="L21" s="543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3"/>
      <c r="AB21" s="543"/>
      <c r="AC21" s="543"/>
      <c r="AD21" s="543"/>
      <c r="AE21" s="543"/>
      <c r="AF21" s="543"/>
    </row>
    <row r="22" spans="1:33">
      <c r="A22" s="483"/>
      <c r="B22" s="481" t="s">
        <v>40</v>
      </c>
      <c r="C22" s="491">
        <f t="shared" si="15"/>
        <v>4051936</v>
      </c>
      <c r="D22" s="491">
        <f t="shared" si="14"/>
        <v>4993299</v>
      </c>
      <c r="E22" s="491">
        <v>344046</v>
      </c>
      <c r="F22" s="491">
        <v>595792</v>
      </c>
      <c r="G22" s="491">
        <v>396185</v>
      </c>
      <c r="H22" s="491">
        <v>588721</v>
      </c>
      <c r="I22" s="543">
        <v>534459</v>
      </c>
      <c r="J22" s="543">
        <v>540817</v>
      </c>
      <c r="K22" s="543">
        <v>425342</v>
      </c>
      <c r="L22" s="543">
        <v>407197</v>
      </c>
      <c r="M22" s="543">
        <v>340947</v>
      </c>
      <c r="N22" s="543">
        <v>361843</v>
      </c>
      <c r="O22" s="543">
        <v>251184</v>
      </c>
      <c r="P22" s="543">
        <v>332621</v>
      </c>
      <c r="Q22" s="543">
        <v>330926</v>
      </c>
      <c r="R22" s="543">
        <v>483057</v>
      </c>
      <c r="S22" s="543">
        <v>518418</v>
      </c>
      <c r="T22" s="543">
        <v>377457</v>
      </c>
      <c r="U22" s="543">
        <f>Jan!$G26</f>
        <v>513680</v>
      </c>
      <c r="V22" s="543">
        <f>Feb!$G26</f>
        <v>431734</v>
      </c>
      <c r="W22" s="543">
        <f>Mar!$G26</f>
        <v>335852</v>
      </c>
      <c r="X22" s="543">
        <f>Apr!$G26</f>
        <v>432834</v>
      </c>
      <c r="Y22" s="543">
        <f>May!$G26</f>
        <v>249954</v>
      </c>
      <c r="Z22" s="543">
        <f>Jun!$G26</f>
        <v>322862</v>
      </c>
      <c r="AA22" s="543">
        <f>Jul!$G26</f>
        <v>247078</v>
      </c>
      <c r="AB22" s="543">
        <f>Aug!$G26</f>
        <v>274690</v>
      </c>
      <c r="AC22" s="543">
        <f>Sep!$G26</f>
        <v>336073</v>
      </c>
      <c r="AD22" s="543">
        <f>Oct!$G27</f>
        <v>365802</v>
      </c>
      <c r="AE22" s="543">
        <f>Nov!$G27</f>
        <v>541377</v>
      </c>
      <c r="AF22" s="543">
        <f>Dec!$G26</f>
        <v>0</v>
      </c>
    </row>
    <row r="23" spans="1:33" hidden="1">
      <c r="A23" s="483"/>
      <c r="B23" s="481" t="s">
        <v>41</v>
      </c>
      <c r="C23" s="491">
        <f t="shared" si="15"/>
        <v>0</v>
      </c>
      <c r="D23" s="491">
        <f t="shared" si="14"/>
        <v>0</v>
      </c>
      <c r="E23" s="491">
        <v>0</v>
      </c>
      <c r="F23" s="491">
        <v>0</v>
      </c>
      <c r="G23" s="491">
        <v>0</v>
      </c>
      <c r="H23" s="491">
        <v>0</v>
      </c>
      <c r="I23" s="543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43"/>
      <c r="AC23" s="543"/>
      <c r="AD23" s="543"/>
      <c r="AE23" s="543"/>
      <c r="AF23" s="543"/>
    </row>
    <row r="24" spans="1:33">
      <c r="A24" s="483"/>
      <c r="B24" s="481" t="s">
        <v>42</v>
      </c>
      <c r="C24" s="491">
        <f t="shared" si="15"/>
        <v>0</v>
      </c>
      <c r="D24" s="491">
        <f t="shared" si="14"/>
        <v>0</v>
      </c>
      <c r="E24" s="491">
        <v>0</v>
      </c>
      <c r="F24" s="491">
        <v>0</v>
      </c>
      <c r="G24" s="491">
        <v>0</v>
      </c>
      <c r="H24" s="491">
        <v>0</v>
      </c>
      <c r="I24" s="543">
        <v>0</v>
      </c>
      <c r="J24" s="543">
        <v>0</v>
      </c>
      <c r="K24" s="543">
        <v>0</v>
      </c>
      <c r="L24" s="543">
        <v>0</v>
      </c>
      <c r="M24" s="543">
        <v>0</v>
      </c>
      <c r="N24" s="543">
        <v>0</v>
      </c>
      <c r="O24" s="543">
        <v>0</v>
      </c>
      <c r="P24" s="543">
        <v>0</v>
      </c>
      <c r="Q24" s="543">
        <v>0</v>
      </c>
      <c r="R24" s="543">
        <v>0</v>
      </c>
      <c r="S24" s="543">
        <v>0</v>
      </c>
      <c r="T24" s="543">
        <v>0</v>
      </c>
      <c r="U24" s="543">
        <f>Jan!$G28</f>
        <v>0</v>
      </c>
      <c r="V24" s="543">
        <f>Feb!$G28</f>
        <v>0</v>
      </c>
      <c r="W24" s="543">
        <f>Mar!$G28</f>
        <v>0</v>
      </c>
      <c r="X24" s="543">
        <f>Apr!$G28</f>
        <v>0</v>
      </c>
      <c r="Y24" s="543">
        <f>May!$G28</f>
        <v>0</v>
      </c>
      <c r="Z24" s="543">
        <f>Jun!$G28</f>
        <v>0</v>
      </c>
      <c r="AA24" s="543">
        <f>Jul!$G28</f>
        <v>0</v>
      </c>
      <c r="AB24" s="543">
        <f>Aug!$G28</f>
        <v>0</v>
      </c>
      <c r="AC24" s="543">
        <f>Sep!$G28</f>
        <v>0</v>
      </c>
      <c r="AD24" s="543">
        <f>Oct!$G29</f>
        <v>0</v>
      </c>
      <c r="AE24" s="543">
        <f>Nov!$G29</f>
        <v>0</v>
      </c>
      <c r="AF24" s="543">
        <f>Dec!$G28</f>
        <v>0</v>
      </c>
    </row>
    <row r="25" spans="1:33" hidden="1">
      <c r="A25" s="483"/>
      <c r="B25" s="481" t="s">
        <v>43</v>
      </c>
      <c r="C25" s="491">
        <f t="shared" si="15"/>
        <v>0</v>
      </c>
      <c r="D25" s="491">
        <f t="shared" si="14"/>
        <v>0</v>
      </c>
      <c r="E25" s="491">
        <v>0</v>
      </c>
      <c r="F25" s="491">
        <v>0</v>
      </c>
      <c r="G25" s="491">
        <v>0</v>
      </c>
      <c r="H25" s="491">
        <v>0</v>
      </c>
      <c r="I25" s="543"/>
      <c r="J25" s="543"/>
      <c r="K25" s="543"/>
      <c r="L25" s="543"/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  <c r="X25" s="543"/>
      <c r="Y25" s="543"/>
      <c r="Z25" s="543"/>
      <c r="AA25" s="543"/>
      <c r="AB25" s="543"/>
      <c r="AC25" s="543"/>
      <c r="AD25" s="543"/>
      <c r="AE25" s="543"/>
      <c r="AF25" s="543"/>
    </row>
    <row r="26" spans="1:33">
      <c r="A26" s="483"/>
      <c r="B26" s="481" t="s">
        <v>74</v>
      </c>
      <c r="C26" s="491">
        <f t="shared" si="15"/>
        <v>26235211</v>
      </c>
      <c r="D26" s="491">
        <f t="shared" si="14"/>
        <v>30501971</v>
      </c>
      <c r="E26" s="491">
        <v>1818699</v>
      </c>
      <c r="F26" s="491">
        <v>2531895</v>
      </c>
      <c r="G26" s="491">
        <v>2936207</v>
      </c>
      <c r="H26" s="491">
        <v>3675604</v>
      </c>
      <c r="I26" s="543">
        <v>3517013</v>
      </c>
      <c r="J26" s="543">
        <v>3103551</v>
      </c>
      <c r="K26" s="543">
        <v>2882510</v>
      </c>
      <c r="L26" s="543">
        <v>2426511</v>
      </c>
      <c r="M26" s="543">
        <v>2096539</v>
      </c>
      <c r="N26" s="543">
        <v>1865473</v>
      </c>
      <c r="O26" s="543">
        <v>1934510</v>
      </c>
      <c r="P26" s="543">
        <v>1781233</v>
      </c>
      <c r="Q26" s="543">
        <v>1975142</v>
      </c>
      <c r="R26" s="543">
        <v>2307678</v>
      </c>
      <c r="S26" s="543">
        <v>3052956</v>
      </c>
      <c r="T26" s="543">
        <v>3180451</v>
      </c>
      <c r="U26" s="543">
        <f>Jan!$G30</f>
        <v>3286166</v>
      </c>
      <c r="V26" s="543">
        <f>Feb!$G30</f>
        <v>2735718</v>
      </c>
      <c r="W26" s="543">
        <f>Mar!$G30</f>
        <v>2608561</v>
      </c>
      <c r="X26" s="543">
        <f>Apr!$G30</f>
        <v>2436951</v>
      </c>
      <c r="Y26" s="543">
        <f>May!$G30</f>
        <v>2203136</v>
      </c>
      <c r="Z26" s="543">
        <f>Jun!$G30</f>
        <v>1941783</v>
      </c>
      <c r="AA26" s="543">
        <f>Jul!$G30</f>
        <v>1912819</v>
      </c>
      <c r="AB26" s="543">
        <f>Aug!$G30</f>
        <v>1943542</v>
      </c>
      <c r="AC26" s="543">
        <f>Sep!$G30</f>
        <v>1945064</v>
      </c>
      <c r="AD26" s="543">
        <f>Oct!$G31</f>
        <v>2201297</v>
      </c>
      <c r="AE26" s="543">
        <f>Nov!$G31</f>
        <v>3020174</v>
      </c>
      <c r="AF26" s="543">
        <f>Dec!$G30</f>
        <v>0</v>
      </c>
    </row>
    <row r="27" spans="1:33" ht="16" thickBot="1">
      <c r="A27" s="483"/>
      <c r="B27" s="481" t="s">
        <v>21</v>
      </c>
      <c r="C27" s="491">
        <f t="shared" si="15"/>
        <v>149588594</v>
      </c>
      <c r="D27" s="542">
        <f t="shared" si="14"/>
        <v>201084465</v>
      </c>
      <c r="E27" s="542">
        <f>SUM(E19:E26)</f>
        <v>6409834</v>
      </c>
      <c r="F27" s="542">
        <f>SUM(F19:F26)</f>
        <v>16252041</v>
      </c>
      <c r="G27" s="542">
        <f t="shared" ref="G27:H27" si="16">SUM(G19:G26)</f>
        <v>24054373</v>
      </c>
      <c r="H27" s="542">
        <f t="shared" si="16"/>
        <v>34418458</v>
      </c>
      <c r="I27" s="542">
        <v>31759465</v>
      </c>
      <c r="J27" s="542">
        <v>30732294</v>
      </c>
      <c r="K27" s="542">
        <v>22715329</v>
      </c>
      <c r="L27" s="542">
        <v>14000465</v>
      </c>
      <c r="M27" s="542">
        <v>8312398</v>
      </c>
      <c r="N27" s="542">
        <v>6514751</v>
      </c>
      <c r="O27" s="542">
        <v>5757349</v>
      </c>
      <c r="P27" s="542">
        <v>5525718</v>
      </c>
      <c r="Q27" s="542">
        <v>6773435</v>
      </c>
      <c r="R27" s="542">
        <v>10520430</v>
      </c>
      <c r="S27" s="542">
        <v>25535994</v>
      </c>
      <c r="T27" s="542">
        <v>28660002</v>
      </c>
      <c r="U27" s="542">
        <f t="shared" ref="U27:AF27" si="17">SUM(U19:U26)</f>
        <v>29883272</v>
      </c>
      <c r="V27" s="542">
        <f t="shared" si="17"/>
        <v>21809394</v>
      </c>
      <c r="W27" s="542">
        <f t="shared" si="17"/>
        <v>17454090</v>
      </c>
      <c r="X27" s="542">
        <f t="shared" si="17"/>
        <v>14032685</v>
      </c>
      <c r="Y27" s="542">
        <f t="shared" si="17"/>
        <v>7651890</v>
      </c>
      <c r="Z27" s="542">
        <f t="shared" si="17"/>
        <v>5795038</v>
      </c>
      <c r="AA27" s="542">
        <f t="shared" si="17"/>
        <v>5628267</v>
      </c>
      <c r="AB27" s="542">
        <f t="shared" si="17"/>
        <v>5459507</v>
      </c>
      <c r="AC27" s="542">
        <f t="shared" si="17"/>
        <v>7409442</v>
      </c>
      <c r="AD27" s="542">
        <f t="shared" si="17"/>
        <v>10024910</v>
      </c>
      <c r="AE27" s="542">
        <f t="shared" si="17"/>
        <v>24440099</v>
      </c>
      <c r="AF27" s="542">
        <f t="shared" si="17"/>
        <v>0</v>
      </c>
    </row>
    <row r="28" spans="1:33" ht="16" thickTop="1">
      <c r="A28" s="483"/>
      <c r="B28" s="481" t="s">
        <v>269</v>
      </c>
      <c r="C28" s="491">
        <f>SUM(U28:AF28)</f>
        <v>69146756</v>
      </c>
      <c r="D28" s="491">
        <f t="shared" si="14"/>
        <v>201084465</v>
      </c>
      <c r="E28" s="491">
        <v>6409834</v>
      </c>
      <c r="F28" s="491">
        <v>16252041</v>
      </c>
      <c r="G28" s="491">
        <v>24054373</v>
      </c>
      <c r="H28" s="491">
        <v>34418458</v>
      </c>
      <c r="I28" s="491">
        <v>31759465</v>
      </c>
      <c r="J28" s="491">
        <v>30732294</v>
      </c>
      <c r="K28" s="491">
        <v>22715329</v>
      </c>
      <c r="L28" s="491">
        <v>14000465</v>
      </c>
      <c r="M28" s="491">
        <v>8312398</v>
      </c>
      <c r="N28" s="491">
        <v>6514751</v>
      </c>
      <c r="O28" s="491">
        <v>5757349</v>
      </c>
      <c r="P28" s="491">
        <v>5525718</v>
      </c>
      <c r="Q28" s="491">
        <v>6773435</v>
      </c>
      <c r="R28" s="491">
        <v>10520430</v>
      </c>
      <c r="S28" s="491">
        <v>25535994</v>
      </c>
      <c r="T28" s="491">
        <v>28660002</v>
      </c>
      <c r="U28" s="491">
        <v>29883272</v>
      </c>
      <c r="V28" s="491">
        <v>21809394</v>
      </c>
      <c r="W28" s="491">
        <v>17454090</v>
      </c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</row>
    <row r="29" spans="1:33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</row>
    <row r="30" spans="1:33">
      <c r="A30" s="484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D30" si="18">U30+1</f>
        <v>201502</v>
      </c>
      <c r="W30" s="484">
        <f t="shared" si="18"/>
        <v>201503</v>
      </c>
      <c r="X30" s="484">
        <f t="shared" si="18"/>
        <v>201504</v>
      </c>
      <c r="Y30" s="484">
        <f t="shared" si="18"/>
        <v>201505</v>
      </c>
      <c r="Z30" s="484">
        <f t="shared" si="18"/>
        <v>201506</v>
      </c>
      <c r="AA30" s="484">
        <f t="shared" si="18"/>
        <v>201507</v>
      </c>
      <c r="AB30" s="484">
        <f t="shared" si="18"/>
        <v>201508</v>
      </c>
      <c r="AC30" s="484">
        <f t="shared" si="18"/>
        <v>201509</v>
      </c>
      <c r="AD30" s="484">
        <f t="shared" si="18"/>
        <v>201510</v>
      </c>
      <c r="AE30" s="484">
        <f>AD30+1</f>
        <v>201511</v>
      </c>
      <c r="AF30" s="484">
        <f t="shared" ref="AF30" si="19">AE30+1</f>
        <v>201512</v>
      </c>
    </row>
    <row r="31" spans="1:33">
      <c r="A31" s="483"/>
      <c r="B31" s="481" t="s">
        <v>37</v>
      </c>
      <c r="E31" s="492">
        <v>3.3950000000000001E-2</v>
      </c>
      <c r="F31" s="492">
        <v>3.3950000000000001E-2</v>
      </c>
      <c r="G31" s="496" t="s">
        <v>270</v>
      </c>
      <c r="H31" s="496" t="s">
        <v>270</v>
      </c>
      <c r="I31" s="492">
        <v>-2.9299999999999999E-3</v>
      </c>
      <c r="J31" s="492">
        <v>-2.9299999999999999E-3</v>
      </c>
      <c r="K31" s="492">
        <v>-2.9299999999999999E-3</v>
      </c>
      <c r="L31" s="492">
        <v>-2.9299999999999999E-3</v>
      </c>
      <c r="M31" s="492">
        <v>-2.9299999999999999E-3</v>
      </c>
      <c r="N31" s="492">
        <v>-2.9299999999999999E-3</v>
      </c>
      <c r="O31" s="492">
        <v>-2.9299999999999999E-3</v>
      </c>
      <c r="P31" s="492">
        <v>-2.9299999999999999E-3</v>
      </c>
      <c r="Q31" s="492">
        <v>-2.9299999999999999E-3</v>
      </c>
      <c r="R31" s="492">
        <v>-2.9299999999999999E-3</v>
      </c>
      <c r="S31" s="496" t="s">
        <v>270</v>
      </c>
      <c r="T31" s="496" t="s">
        <v>270</v>
      </c>
      <c r="U31" s="492">
        <v>1.436E-2</v>
      </c>
      <c r="V31" s="492">
        <v>1.436E-2</v>
      </c>
      <c r="W31" s="492">
        <v>1.436E-2</v>
      </c>
      <c r="X31" s="492">
        <v>1.436E-2</v>
      </c>
      <c r="Y31" s="492">
        <v>1.436E-2</v>
      </c>
      <c r="Z31" s="492">
        <v>1.436E-2</v>
      </c>
      <c r="AA31" s="492">
        <v>1.436E-2</v>
      </c>
      <c r="AB31" s="492">
        <v>1.436E-2</v>
      </c>
      <c r="AC31" s="492">
        <v>1.436E-2</v>
      </c>
      <c r="AD31" s="492">
        <v>1.436E-2</v>
      </c>
      <c r="AE31" s="496" t="s">
        <v>270</v>
      </c>
      <c r="AF31" s="496" t="s">
        <v>270</v>
      </c>
    </row>
    <row r="32" spans="1:33">
      <c r="A32" s="483"/>
      <c r="B32" s="481" t="s">
        <v>38</v>
      </c>
      <c r="E32" s="492">
        <v>3.0599999999999999E-2</v>
      </c>
      <c r="F32" s="492">
        <v>3.0599999999999999E-2</v>
      </c>
      <c r="G32" s="496" t="s">
        <v>270</v>
      </c>
      <c r="H32" s="496" t="s">
        <v>270</v>
      </c>
      <c r="I32" s="492">
        <v>-5.5599999999999998E-3</v>
      </c>
      <c r="J32" s="492">
        <v>-5.5599999999999998E-3</v>
      </c>
      <c r="K32" s="492">
        <v>-5.5599999999999998E-3</v>
      </c>
      <c r="L32" s="492">
        <v>-5.5599999999999998E-3</v>
      </c>
      <c r="M32" s="492">
        <v>-5.5599999999999998E-3</v>
      </c>
      <c r="N32" s="492">
        <v>-5.5599999999999998E-3</v>
      </c>
      <c r="O32" s="492">
        <v>-5.5599999999999998E-3</v>
      </c>
      <c r="P32" s="492">
        <v>-5.5599999999999998E-3</v>
      </c>
      <c r="Q32" s="492">
        <v>-5.5599999999999998E-3</v>
      </c>
      <c r="R32" s="492">
        <v>-5.5599999999999998E-3</v>
      </c>
      <c r="S32" s="496" t="s">
        <v>270</v>
      </c>
      <c r="T32" s="496" t="s">
        <v>270</v>
      </c>
      <c r="U32" s="492">
        <v>8.0800000000000004E-3</v>
      </c>
      <c r="V32" s="492">
        <v>8.0800000000000004E-3</v>
      </c>
      <c r="W32" s="492">
        <v>8.0800000000000004E-3</v>
      </c>
      <c r="X32" s="492">
        <v>8.0800000000000004E-3</v>
      </c>
      <c r="Y32" s="492">
        <v>8.0800000000000004E-3</v>
      </c>
      <c r="Z32" s="492">
        <v>8.0800000000000004E-3</v>
      </c>
      <c r="AA32" s="492">
        <v>8.0800000000000004E-3</v>
      </c>
      <c r="AB32" s="492">
        <v>8.0800000000000004E-3</v>
      </c>
      <c r="AC32" s="492">
        <v>8.0800000000000004E-3</v>
      </c>
      <c r="AD32" s="492">
        <v>8.0800000000000004E-3</v>
      </c>
      <c r="AE32" s="496" t="s">
        <v>270</v>
      </c>
      <c r="AF32" s="496" t="s">
        <v>270</v>
      </c>
    </row>
    <row r="33" spans="1:39" hidden="1">
      <c r="A33" s="483"/>
      <c r="B33" s="481" t="s">
        <v>39</v>
      </c>
      <c r="E33" s="492"/>
      <c r="F33" s="492"/>
      <c r="G33" s="496" t="s">
        <v>270</v>
      </c>
      <c r="H33" s="496" t="s">
        <v>270</v>
      </c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 t="s">
        <v>270</v>
      </c>
      <c r="T33" s="496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6" t="s">
        <v>270</v>
      </c>
      <c r="AF33" s="496" t="s">
        <v>270</v>
      </c>
    </row>
    <row r="34" spans="1:39">
      <c r="A34" s="483"/>
      <c r="B34" s="481" t="s">
        <v>40</v>
      </c>
      <c r="E34" s="492">
        <v>2.998E-2</v>
      </c>
      <c r="F34" s="492">
        <v>2.998E-2</v>
      </c>
      <c r="G34" s="496" t="s">
        <v>270</v>
      </c>
      <c r="H34" s="496" t="s">
        <v>270</v>
      </c>
      <c r="I34" s="492">
        <v>-1.5820000000000001E-2</v>
      </c>
      <c r="J34" s="492">
        <v>-1.5820000000000001E-2</v>
      </c>
      <c r="K34" s="492">
        <v>-1.5820000000000001E-2</v>
      </c>
      <c r="L34" s="492">
        <v>-1.5820000000000001E-2</v>
      </c>
      <c r="M34" s="492">
        <v>-1.5820000000000001E-2</v>
      </c>
      <c r="N34" s="492">
        <v>-1.5820000000000001E-2</v>
      </c>
      <c r="O34" s="492">
        <v>-1.5820000000000001E-2</v>
      </c>
      <c r="P34" s="492">
        <v>-1.5820000000000001E-2</v>
      </c>
      <c r="Q34" s="492">
        <v>-1.5820000000000001E-2</v>
      </c>
      <c r="R34" s="492">
        <v>-1.5820000000000001E-2</v>
      </c>
      <c r="S34" s="496" t="s">
        <v>270</v>
      </c>
      <c r="T34" s="496" t="s">
        <v>270</v>
      </c>
      <c r="U34" s="492">
        <v>-1.0359999999999999E-2</v>
      </c>
      <c r="V34" s="492">
        <v>-1.0359999999999999E-2</v>
      </c>
      <c r="W34" s="492">
        <v>-1.0359999999999999E-2</v>
      </c>
      <c r="X34" s="492">
        <v>-1.0359999999999999E-2</v>
      </c>
      <c r="Y34" s="492">
        <v>-1.0359999999999999E-2</v>
      </c>
      <c r="Z34" s="492">
        <v>-1.0359999999999999E-2</v>
      </c>
      <c r="AA34" s="492">
        <v>-1.0359999999999999E-2</v>
      </c>
      <c r="AB34" s="492">
        <v>-1.0359999999999999E-2</v>
      </c>
      <c r="AC34" s="492">
        <v>-1.0359999999999999E-2</v>
      </c>
      <c r="AD34" s="492">
        <v>-1.0359999999999999E-2</v>
      </c>
      <c r="AE34" s="496" t="s">
        <v>270</v>
      </c>
      <c r="AF34" s="496" t="s">
        <v>270</v>
      </c>
    </row>
    <row r="35" spans="1:39" hidden="1">
      <c r="A35" s="483"/>
      <c r="B35" s="481" t="s">
        <v>41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</row>
    <row r="36" spans="1:39" ht="16" thickBot="1">
      <c r="A36" s="483"/>
      <c r="B36" s="481" t="s">
        <v>42</v>
      </c>
      <c r="E36" s="492">
        <v>5.7389999999999997E-2</v>
      </c>
      <c r="F36" s="492">
        <v>5.7389999999999997E-2</v>
      </c>
      <c r="G36" s="496" t="s">
        <v>270</v>
      </c>
      <c r="H36" s="496" t="s">
        <v>270</v>
      </c>
      <c r="I36" s="492">
        <v>3.0499999999999999E-2</v>
      </c>
      <c r="J36" s="492">
        <v>3.0499999999999999E-2</v>
      </c>
      <c r="K36" s="492">
        <v>3.0499999999999999E-2</v>
      </c>
      <c r="L36" s="492">
        <v>3.0499999999999999E-2</v>
      </c>
      <c r="M36" s="492">
        <v>3.0499999999999999E-2</v>
      </c>
      <c r="N36" s="492">
        <v>3.0499999999999999E-2</v>
      </c>
      <c r="O36" s="492">
        <v>3.0499999999999999E-2</v>
      </c>
      <c r="P36" s="492">
        <v>3.0499999999999999E-2</v>
      </c>
      <c r="Q36" s="492">
        <v>3.0499999999999999E-2</v>
      </c>
      <c r="R36" s="492">
        <v>3.0499999999999999E-2</v>
      </c>
      <c r="S36" s="496" t="s">
        <v>270</v>
      </c>
      <c r="T36" s="496" t="s">
        <v>270</v>
      </c>
      <c r="U36" s="492">
        <v>-2.3310000000000001E-2</v>
      </c>
      <c r="V36" s="492">
        <v>-2.3310000000000001E-2</v>
      </c>
      <c r="W36" s="492">
        <v>-2.3310000000000001E-2</v>
      </c>
      <c r="X36" s="492">
        <v>-2.3310000000000001E-2</v>
      </c>
      <c r="Y36" s="492">
        <v>-2.3310000000000001E-2</v>
      </c>
      <c r="Z36" s="492">
        <v>-2.3310000000000001E-2</v>
      </c>
      <c r="AA36" s="492">
        <v>-2.3310000000000001E-2</v>
      </c>
      <c r="AB36" s="492">
        <v>-2.3310000000000001E-2</v>
      </c>
      <c r="AC36" s="492">
        <v>-2.3310000000000001E-2</v>
      </c>
      <c r="AD36" s="492">
        <v>-2.3310000000000001E-2</v>
      </c>
      <c r="AE36" s="496" t="s">
        <v>270</v>
      </c>
      <c r="AF36" s="496" t="s">
        <v>270</v>
      </c>
    </row>
    <row r="37" spans="1:39" ht="16" hidden="1" thickBot="1">
      <c r="A37" s="483"/>
      <c r="B37" s="481" t="s">
        <v>43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H37" s="483"/>
      <c r="AI37" s="484"/>
      <c r="AJ37" s="483"/>
      <c r="AK37" s="483"/>
      <c r="AL37" s="483"/>
      <c r="AM37" s="483"/>
    </row>
    <row r="38" spans="1:39" ht="16" thickBot="1">
      <c r="A38" s="483"/>
      <c r="B38" s="481" t="s">
        <v>74</v>
      </c>
      <c r="E38" s="492">
        <v>0</v>
      </c>
      <c r="F38" s="492">
        <v>0</v>
      </c>
      <c r="G38" s="496" t="s">
        <v>270</v>
      </c>
      <c r="H38" s="496" t="s">
        <v>270</v>
      </c>
      <c r="I38" s="492">
        <v>0</v>
      </c>
      <c r="J38" s="492">
        <v>0</v>
      </c>
      <c r="K38" s="492">
        <v>0</v>
      </c>
      <c r="L38" s="492">
        <v>0</v>
      </c>
      <c r="M38" s="492">
        <v>0</v>
      </c>
      <c r="N38" s="492">
        <v>0</v>
      </c>
      <c r="O38" s="492">
        <v>0</v>
      </c>
      <c r="P38" s="492">
        <v>0</v>
      </c>
      <c r="Q38" s="492">
        <v>0</v>
      </c>
      <c r="R38" s="492">
        <v>0</v>
      </c>
      <c r="S38" s="496" t="s">
        <v>270</v>
      </c>
      <c r="T38" s="496" t="s">
        <v>270</v>
      </c>
      <c r="U38" s="492">
        <v>0</v>
      </c>
      <c r="V38" s="492">
        <v>0</v>
      </c>
      <c r="W38" s="492">
        <v>0</v>
      </c>
      <c r="X38" s="492">
        <v>0</v>
      </c>
      <c r="Y38" s="492">
        <v>0</v>
      </c>
      <c r="Z38" s="492">
        <v>0</v>
      </c>
      <c r="AA38" s="492">
        <v>0</v>
      </c>
      <c r="AB38" s="492">
        <v>0</v>
      </c>
      <c r="AC38" s="492">
        <v>0</v>
      </c>
      <c r="AD38" s="492">
        <v>0</v>
      </c>
      <c r="AE38" s="496" t="s">
        <v>270</v>
      </c>
      <c r="AF38" s="496" t="s">
        <v>270</v>
      </c>
      <c r="AH38" s="513">
        <f>AH4</f>
        <v>201503</v>
      </c>
      <c r="AI38" s="526"/>
      <c r="AJ38" s="514"/>
      <c r="AK38" s="514"/>
      <c r="AL38" s="514"/>
      <c r="AM38" s="515"/>
    </row>
    <row r="39" spans="1:39">
      <c r="A39" s="483" t="s">
        <v>293</v>
      </c>
      <c r="E39" s="492"/>
      <c r="F39" s="492"/>
      <c r="G39" s="496"/>
      <c r="H39" s="496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H39" s="497" t="s">
        <v>298</v>
      </c>
      <c r="AI39" s="527">
        <v>419600</v>
      </c>
      <c r="AJ39" s="498" t="s">
        <v>288</v>
      </c>
      <c r="AK39" s="498" t="s">
        <v>289</v>
      </c>
      <c r="AL39" s="519">
        <v>0</v>
      </c>
      <c r="AM39" s="520">
        <f>IF(SUMIF(E40:AF40,AH38,E44:AF44)&gt;0,SUMIF(E40:AF40,AH38,E44:AF44),0)</f>
        <v>0</v>
      </c>
    </row>
    <row r="40" spans="1:39" s="483" customFormat="1">
      <c r="A40" s="484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D40" si="20">U40+1</f>
        <v>201502</v>
      </c>
      <c r="W40" s="484">
        <f t="shared" si="20"/>
        <v>201503</v>
      </c>
      <c r="X40" s="484">
        <f t="shared" si="20"/>
        <v>201504</v>
      </c>
      <c r="Y40" s="484">
        <f t="shared" si="20"/>
        <v>201505</v>
      </c>
      <c r="Z40" s="484">
        <f t="shared" si="20"/>
        <v>201506</v>
      </c>
      <c r="AA40" s="484">
        <f t="shared" si="20"/>
        <v>201507</v>
      </c>
      <c r="AB40" s="484">
        <f t="shared" si="20"/>
        <v>201508</v>
      </c>
      <c r="AC40" s="484">
        <f t="shared" si="20"/>
        <v>201509</v>
      </c>
      <c r="AD40" s="484">
        <f t="shared" si="20"/>
        <v>201510</v>
      </c>
      <c r="AE40" s="484">
        <f>AD40+1</f>
        <v>201511</v>
      </c>
      <c r="AF40" s="484">
        <f t="shared" ref="AF40" si="21">AE40+1</f>
        <v>201512</v>
      </c>
      <c r="AH40" s="499" t="s">
        <v>299</v>
      </c>
      <c r="AI40" s="528">
        <v>431600</v>
      </c>
      <c r="AJ40" s="358" t="s">
        <v>288</v>
      </c>
      <c r="AK40" s="358" t="s">
        <v>289</v>
      </c>
      <c r="AL40" s="381">
        <f>IF(SUMIF(E40:AF40,AH38,E44:AF44)&lt;0,-SUMIF(E40:AF40,AH38,E44:AF44),0)</f>
        <v>2407.2250590742387</v>
      </c>
      <c r="AM40" s="500">
        <v>0</v>
      </c>
    </row>
    <row r="41" spans="1:39" s="483" customFormat="1">
      <c r="B41" s="485" t="s">
        <v>257</v>
      </c>
      <c r="C41" s="482"/>
      <c r="E41" s="488">
        <v>3.2500000000000001E-2</v>
      </c>
      <c r="F41" s="488">
        <v>3.2500000000000001E-2</v>
      </c>
      <c r="G41" s="488">
        <v>3.2500000000000001E-2</v>
      </c>
      <c r="H41" s="488">
        <v>3.2500000000000001E-2</v>
      </c>
      <c r="I41" s="488">
        <v>3.2500000000000001E-2</v>
      </c>
      <c r="J41" s="488">
        <v>3.2500000000000001E-2</v>
      </c>
      <c r="K41" s="488">
        <v>3.2500000000000001E-2</v>
      </c>
      <c r="L41" s="488">
        <v>3.2500000000000001E-2</v>
      </c>
      <c r="M41" s="488">
        <v>3.2500000000000001E-2</v>
      </c>
      <c r="N41" s="488">
        <v>3.2500000000000001E-2</v>
      </c>
      <c r="O41" s="488">
        <v>3.2500000000000001E-2</v>
      </c>
      <c r="P41" s="488">
        <v>3.2500000000000001E-2</v>
      </c>
      <c r="Q41" s="488">
        <v>3.2500000000000001E-2</v>
      </c>
      <c r="R41" s="488">
        <v>3.2500000000000001E-2</v>
      </c>
      <c r="S41" s="488">
        <v>3.2500000000000001E-2</v>
      </c>
      <c r="T41" s="488">
        <v>3.2500000000000001E-2</v>
      </c>
      <c r="U41" s="488">
        <v>3.2500000000000001E-2</v>
      </c>
      <c r="V41" s="488">
        <v>3.2500000000000001E-2</v>
      </c>
      <c r="W41" s="488">
        <v>3.2500000000000001E-2</v>
      </c>
      <c r="X41" s="488">
        <v>3.2500000000000001E-2</v>
      </c>
      <c r="Y41" s="488">
        <v>3.2500000000000001E-2</v>
      </c>
      <c r="Z41" s="488">
        <v>3.2500000000000001E-2</v>
      </c>
      <c r="AA41" s="488">
        <v>3.2500000000000001E-2</v>
      </c>
      <c r="AB41" s="488">
        <v>3.2500000000000001E-2</v>
      </c>
      <c r="AC41" s="488">
        <v>3.2500000000000001E-2</v>
      </c>
      <c r="AD41" s="488">
        <v>3.2500000000000001E-2</v>
      </c>
      <c r="AE41" s="488">
        <v>3.2500000000000001E-2</v>
      </c>
      <c r="AF41" s="488">
        <v>3.2500000000000001E-2</v>
      </c>
      <c r="AH41" s="499" t="s">
        <v>300</v>
      </c>
      <c r="AI41" s="528">
        <v>191000</v>
      </c>
      <c r="AJ41" s="358" t="s">
        <v>288</v>
      </c>
      <c r="AK41" s="358" t="s">
        <v>289</v>
      </c>
      <c r="AL41" s="381">
        <f>IF((SUMIF(E40:AF40,AH38,E43:AF43)+SUMIF(E40:AF40,AH38,E44:AF44))&gt;0,(SUMIF(E40:AF40,AH38,E43:AF43)+SUMIF(E40:AF40,AH38,E44:AF44)),0)</f>
        <v>177159.68978092578</v>
      </c>
      <c r="AM41" s="500">
        <f>IF((SUMIF(E40:AF40,AH38,E43:AF43)+SUMIF(E40:AF40,AH38,E44:AF44))&lt;0,-(SUMIF(E40:AF40,AH38,E43:AF43)+SUMIF(E40:AF40,AH38,E44:AF44)),0)</f>
        <v>0</v>
      </c>
    </row>
    <row r="42" spans="1:39">
      <c r="A42" s="493"/>
      <c r="B42" s="481" t="s">
        <v>253</v>
      </c>
      <c r="E42" s="482">
        <v>-194854.27149590768</v>
      </c>
      <c r="F42" s="482">
        <f>E47</f>
        <v>-46035.360287444513</v>
      </c>
      <c r="G42" s="482">
        <f>F47</f>
        <v>404885.58467682183</v>
      </c>
      <c r="H42" s="482">
        <f>G47</f>
        <v>1486369.5928734979</v>
      </c>
      <c r="I42" s="482">
        <v>1388326.8065187801</v>
      </c>
      <c r="J42" s="482">
        <v>1256080.2312424269</v>
      </c>
      <c r="K42" s="482">
        <v>1153258.7731084346</v>
      </c>
      <c r="L42" s="482">
        <v>1078717.1045833002</v>
      </c>
      <c r="M42" s="482">
        <v>1033496.2426010612</v>
      </c>
      <c r="N42" s="482">
        <v>1007906.7387058339</v>
      </c>
      <c r="O42" s="482">
        <v>987738.42680743511</v>
      </c>
      <c r="P42" s="482">
        <v>972066.68936231779</v>
      </c>
      <c r="Q42" s="482">
        <v>955827.4742971377</v>
      </c>
      <c r="R42" s="482">
        <v>935484.97275235492</v>
      </c>
      <c r="S42" s="482">
        <v>900376.74388303224</v>
      </c>
      <c r="T42" s="482">
        <v>-1984640.7833043733</v>
      </c>
      <c r="U42" s="482">
        <f>T47</f>
        <v>-1530288.7769039478</v>
      </c>
      <c r="V42" s="482">
        <f>U47</f>
        <v>-1203520.6941716045</v>
      </c>
      <c r="W42" s="482">
        <f t="shared" ref="W42:AD42" si="22">V47</f>
        <v>-978605.01769356499</v>
      </c>
      <c r="X42" s="482">
        <f t="shared" si="22"/>
        <v>-801445.32791263924</v>
      </c>
      <c r="Y42" s="482">
        <f t="shared" si="22"/>
        <v>-669275.24177190254</v>
      </c>
      <c r="Z42" s="482">
        <f t="shared" si="22"/>
        <v>-610882.24266902648</v>
      </c>
      <c r="AA42" s="482">
        <f t="shared" si="22"/>
        <v>-574943.04011245095</v>
      </c>
      <c r="AB42" s="482">
        <f t="shared" si="22"/>
        <v>-537511.27700320142</v>
      </c>
      <c r="AC42" s="482">
        <f t="shared" si="22"/>
        <v>-503286.03358886426</v>
      </c>
      <c r="AD42" s="482">
        <f t="shared" si="22"/>
        <v>-446057.56644618412</v>
      </c>
      <c r="AE42" s="482">
        <f>AD47</f>
        <v>-360324.16779451753</v>
      </c>
      <c r="AF42" s="482">
        <f t="shared" ref="AF42" si="23">AE47</f>
        <v>-361300.04574896104</v>
      </c>
      <c r="AH42" s="499" t="s">
        <v>301</v>
      </c>
      <c r="AI42" s="528">
        <v>805110</v>
      </c>
      <c r="AJ42" s="358" t="s">
        <v>288</v>
      </c>
      <c r="AK42" s="358" t="s">
        <v>289</v>
      </c>
      <c r="AL42" s="381">
        <f>IF((SUMIF(E40:AF40,AH38,E43:AF43))&lt;0,-(SUMIF(E40:AF40,AH38,E43:AF43)),0)</f>
        <v>0</v>
      </c>
      <c r="AM42" s="500">
        <f>IF((SUMIF(E40:AF40,AH38,E43:AF43))&gt;0,(SUMIF(E40:AF40,AH38,E43:AF43)),0)+0.01</f>
        <v>179566.92484000002</v>
      </c>
    </row>
    <row r="43" spans="1:39">
      <c r="B43" s="481" t="s">
        <v>23</v>
      </c>
      <c r="C43" s="482">
        <f>SUM(U43:AF43)</f>
        <v>1189629.81828</v>
      </c>
      <c r="D43" s="494">
        <f>SUM(G43:R43)</f>
        <v>-672918.74727999989</v>
      </c>
      <c r="E43" s="482">
        <f>SUMPRODUCT(E19:E26,E31:E38)</f>
        <v>149144.67478</v>
      </c>
      <c r="F43" s="482">
        <f>SUMPRODUCT(F19:F26,F31:F38)</f>
        <v>450435.65911000001</v>
      </c>
      <c r="G43" s="482">
        <v>-82277.84</v>
      </c>
      <c r="H43" s="482">
        <v>-101930.34</v>
      </c>
      <c r="I43" s="482">
        <v>-108116.73896</v>
      </c>
      <c r="J43" s="482">
        <v>-106079.69250999999</v>
      </c>
      <c r="K43" s="482">
        <v>-77560.048470000009</v>
      </c>
      <c r="L43" s="482">
        <v>-48077.28282</v>
      </c>
      <c r="M43" s="482">
        <v>-28350.165369999999</v>
      </c>
      <c r="N43" s="482">
        <v>-22867.09346</v>
      </c>
      <c r="O43" s="482">
        <v>-18322.051239999997</v>
      </c>
      <c r="P43" s="482">
        <v>-18846.37455</v>
      </c>
      <c r="Q43" s="482">
        <v>-22900.190279999999</v>
      </c>
      <c r="R43" s="482">
        <v>-37590.929620000003</v>
      </c>
      <c r="S43" s="557">
        <v>257672.26615000004</v>
      </c>
      <c r="T43" s="557">
        <v>312766.45</v>
      </c>
      <c r="U43" s="482">
        <f>SUMPRODUCT(U19:U26,U31:U38)</f>
        <v>330465.11</v>
      </c>
      <c r="V43" s="482">
        <f>SUMPRODUCT(V19:V26,V31:V38)</f>
        <v>227866.64228000003</v>
      </c>
      <c r="W43" s="482">
        <f t="shared" ref="W43:X43" si="24">SUMPRODUCT(W19:W26,W31:W38)</f>
        <v>179566.91484000001</v>
      </c>
      <c r="X43" s="482">
        <f t="shared" si="24"/>
        <v>134158.99359999999</v>
      </c>
      <c r="Y43" s="482">
        <f>SUMPRODUCT(Y19:Y26,Y31:Y38)</f>
        <v>60124.201359999999</v>
      </c>
      <c r="Z43" s="482">
        <f t="shared" ref="Z43:AD43" si="25">SUMPRODUCT(Z19:Z26,Z31:Z38)</f>
        <v>37542.836040000002</v>
      </c>
      <c r="AA43" s="482">
        <f t="shared" si="25"/>
        <v>38936.174440000003</v>
      </c>
      <c r="AB43" s="482">
        <f t="shared" si="25"/>
        <v>35632.750439999996</v>
      </c>
      <c r="AC43" s="482">
        <f t="shared" si="25"/>
        <v>58512.29808</v>
      </c>
      <c r="AD43" s="482">
        <f t="shared" si="25"/>
        <v>86823.897200000007</v>
      </c>
      <c r="AE43" s="563"/>
      <c r="AF43" s="563"/>
      <c r="AH43" s="153" t="s">
        <v>156</v>
      </c>
      <c r="AI43" s="209">
        <f>AI41</f>
        <v>191000</v>
      </c>
      <c r="AJ43" s="209" t="str">
        <f t="shared" ref="AJ43:AK44" si="26">AJ41</f>
        <v>GD</v>
      </c>
      <c r="AK43" s="209" t="str">
        <f t="shared" si="26"/>
        <v>WA</v>
      </c>
      <c r="AL43" s="472">
        <v>0</v>
      </c>
      <c r="AM43" s="462">
        <v>0</v>
      </c>
    </row>
    <row r="44" spans="1:39" ht="16" thickBot="1">
      <c r="B44" s="481" t="s">
        <v>4</v>
      </c>
      <c r="C44" s="482">
        <f t="shared" ref="C44:C46" si="27">SUM(U44:AF44)</f>
        <v>-21619.608082249844</v>
      </c>
      <c r="D44" s="494">
        <f>SUM(G44:R44)</f>
        <v>36498.65781942301</v>
      </c>
      <c r="E44" s="482">
        <f>(E42*(E41/12))+((E43/2)*(E41/12))</f>
        <v>-325.7635715368333</v>
      </c>
      <c r="F44" s="482">
        <f>(F42*(F41/12))+((F43/2)*(F41/12))</f>
        <v>485.28585426629616</v>
      </c>
      <c r="G44" s="482">
        <f>((G42+G45)*(G41/12))+(((G43+G46)/2)*(G41/12))</f>
        <v>4107.1195298889406</v>
      </c>
      <c r="H44" s="489">
        <f>(H42*(H41/12))+((H43/2)*(H41/12))</f>
        <v>3887.5536452823899</v>
      </c>
      <c r="I44" s="489">
        <v>3613.643683646696</v>
      </c>
      <c r="J44" s="489">
        <v>3258.2343760076146</v>
      </c>
      <c r="K44" s="489">
        <v>3018.3799448655523</v>
      </c>
      <c r="L44" s="489">
        <v>2856.4208377610212</v>
      </c>
      <c r="M44" s="489">
        <v>2760.6614747726658</v>
      </c>
      <c r="N44" s="489">
        <v>2698.7815616012172</v>
      </c>
      <c r="O44" s="489">
        <v>2650.3137948826366</v>
      </c>
      <c r="P44" s="489">
        <v>2607.1594848198192</v>
      </c>
      <c r="Q44" s="489">
        <v>2557.688735217248</v>
      </c>
      <c r="R44" s="489">
        <v>2482.7007506772115</v>
      </c>
      <c r="S44" s="559">
        <v>-5609.7233374053303</v>
      </c>
      <c r="T44" s="560">
        <v>-4753.3635995743443</v>
      </c>
      <c r="U44" s="489">
        <f>((U42*(U41/12))+((U43/2)*(U41/12)))</f>
        <v>-3697.0272676565255</v>
      </c>
      <c r="V44" s="489">
        <f t="shared" ref="V44:AD44" si="28">((V42*(V41/12))+((V43/2)*(V41/12)))</f>
        <v>-2950.9658019605959</v>
      </c>
      <c r="W44" s="489">
        <f>((W42*(W41/12))+((W43/2)*(W41/12)))</f>
        <v>-2407.2250590742387</v>
      </c>
      <c r="X44" s="489">
        <f t="shared" si="28"/>
        <v>-1988.9074592633983</v>
      </c>
      <c r="Y44" s="489">
        <f t="shared" si="28"/>
        <v>-1731.2022571239027</v>
      </c>
      <c r="Z44" s="489">
        <f t="shared" si="28"/>
        <v>-1603.6334834244467</v>
      </c>
      <c r="AA44" s="489">
        <f t="shared" si="28"/>
        <v>-1504.4113307503878</v>
      </c>
      <c r="AB44" s="489">
        <f t="shared" si="28"/>
        <v>-1407.5070256628373</v>
      </c>
      <c r="AC44" s="489">
        <f t="shared" si="28"/>
        <v>-1283.8309373198406</v>
      </c>
      <c r="AD44" s="489">
        <f t="shared" si="28"/>
        <v>-1090.4985483334153</v>
      </c>
      <c r="AE44" s="560">
        <f>((AE42+AE45)*(AE41/12))+(((AE43+AE46)/2)*(AE41/12))</f>
        <v>-975.87795444348501</v>
      </c>
      <c r="AF44" s="560">
        <f>((AF42+AF45)*(AF41/12))+(((AF43+AF46)/2)*(AF41/12))</f>
        <v>-978.5209572367695</v>
      </c>
      <c r="AH44" s="154" t="str">
        <f>AH43</f>
        <v>Large Customer Refund</v>
      </c>
      <c r="AI44" s="561">
        <f>AI42</f>
        <v>805110</v>
      </c>
      <c r="AJ44" s="561" t="str">
        <f t="shared" si="26"/>
        <v>GD</v>
      </c>
      <c r="AK44" s="561" t="str">
        <f t="shared" si="26"/>
        <v>WA</v>
      </c>
      <c r="AL44" s="464">
        <f>AM43</f>
        <v>0</v>
      </c>
      <c r="AM44" s="473">
        <f>AL43</f>
        <v>0</v>
      </c>
    </row>
    <row r="45" spans="1:39" ht="16" thickBot="1">
      <c r="B45" s="481" t="s">
        <v>259</v>
      </c>
      <c r="C45" s="482">
        <f t="shared" si="27"/>
        <v>0</v>
      </c>
      <c r="E45" s="482">
        <v>0</v>
      </c>
      <c r="F45" s="482">
        <v>0</v>
      </c>
      <c r="G45" s="482">
        <v>1145801.7486667871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-3063910.6100000003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63">
        <f>-AE11-AE10-AE9</f>
        <v>0</v>
      </c>
      <c r="AF45" s="563">
        <v>0</v>
      </c>
      <c r="AH45" s="516"/>
      <c r="AI45" s="530"/>
      <c r="AJ45" s="517"/>
      <c r="AK45" s="517"/>
      <c r="AL45" s="517" t="s">
        <v>159</v>
      </c>
      <c r="AM45" s="518">
        <f>SUM(AL39:AL44)-SUM(AM39:AM44)</f>
        <v>-1.0000000009313226E-2</v>
      </c>
    </row>
    <row r="46" spans="1:39">
      <c r="B46" s="481" t="s">
        <v>148</v>
      </c>
      <c r="C46" s="482">
        <f t="shared" si="27"/>
        <v>0</v>
      </c>
      <c r="E46" s="482">
        <v>0</v>
      </c>
      <c r="F46" s="482">
        <v>0</v>
      </c>
      <c r="G46" s="482">
        <v>13852.98</v>
      </c>
      <c r="H46" s="482">
        <v>0</v>
      </c>
      <c r="I46" s="538">
        <v>-27743.479999999981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-73169.460000000006</v>
      </c>
      <c r="T46" s="557">
        <v>146338.92000000001</v>
      </c>
      <c r="U46" s="563">
        <v>0</v>
      </c>
      <c r="V46" s="482">
        <v>0</v>
      </c>
      <c r="W46" s="482">
        <v>0</v>
      </c>
      <c r="X46" s="482">
        <v>0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63"/>
      <c r="AF46" s="563">
        <f>-AE46*2</f>
        <v>0</v>
      </c>
    </row>
    <row r="47" spans="1:39" ht="16" thickBot="1">
      <c r="B47" s="481" t="s">
        <v>56</v>
      </c>
      <c r="C47" s="541">
        <f>SUM(C43:C46)</f>
        <v>1168010.2101977502</v>
      </c>
      <c r="D47" s="541"/>
      <c r="E47" s="541">
        <f>SUM(E42:E46)</f>
        <v>-46035.360287444513</v>
      </c>
      <c r="F47" s="541">
        <f t="shared" ref="F47:H47" si="29">SUM(F42:F46)</f>
        <v>404885.58467682183</v>
      </c>
      <c r="G47" s="541">
        <f t="shared" si="29"/>
        <v>1486369.5928734979</v>
      </c>
      <c r="H47" s="541">
        <f t="shared" si="29"/>
        <v>1388326.8065187801</v>
      </c>
      <c r="I47" s="541">
        <v>1256080.2312424269</v>
      </c>
      <c r="J47" s="541">
        <v>1153258.7731084346</v>
      </c>
      <c r="K47" s="541">
        <v>1078717.1045833002</v>
      </c>
      <c r="L47" s="541">
        <v>1033496.2426010612</v>
      </c>
      <c r="M47" s="541">
        <v>1007906.7387058339</v>
      </c>
      <c r="N47" s="541">
        <v>987738.42680743511</v>
      </c>
      <c r="O47" s="541">
        <v>972066.68936231779</v>
      </c>
      <c r="P47" s="541">
        <v>955827.4742971377</v>
      </c>
      <c r="Q47" s="541">
        <v>935484.97275235492</v>
      </c>
      <c r="R47" s="541">
        <v>900376.74388303224</v>
      </c>
      <c r="S47" s="541">
        <v>-1984640.7833043733</v>
      </c>
      <c r="T47" s="541">
        <v>-1530288.7769039478</v>
      </c>
      <c r="U47" s="541">
        <f t="shared" ref="U47:AF47" si="30">SUM(U42:U46)</f>
        <v>-1203520.6941716045</v>
      </c>
      <c r="V47" s="541">
        <f t="shared" si="30"/>
        <v>-978605.01769356499</v>
      </c>
      <c r="W47" s="541">
        <f t="shared" si="30"/>
        <v>-801445.32791263924</v>
      </c>
      <c r="X47" s="541">
        <f t="shared" si="30"/>
        <v>-669275.24177190254</v>
      </c>
      <c r="Y47" s="541">
        <f t="shared" si="30"/>
        <v>-610882.24266902648</v>
      </c>
      <c r="Z47" s="541">
        <f t="shared" si="30"/>
        <v>-574943.04011245095</v>
      </c>
      <c r="AA47" s="541">
        <f t="shared" si="30"/>
        <v>-537511.27700320142</v>
      </c>
      <c r="AB47" s="541">
        <f t="shared" si="30"/>
        <v>-503286.03358886426</v>
      </c>
      <c r="AC47" s="541">
        <f t="shared" si="30"/>
        <v>-446057.56644618412</v>
      </c>
      <c r="AD47" s="541">
        <f t="shared" si="30"/>
        <v>-360324.16779451753</v>
      </c>
      <c r="AE47" s="541">
        <f t="shared" si="30"/>
        <v>-361300.04574896104</v>
      </c>
      <c r="AF47" s="541">
        <f t="shared" si="30"/>
        <v>-362278.5667061978</v>
      </c>
    </row>
    <row r="48" spans="1:39" ht="16" thickTop="1">
      <c r="B48" s="481" t="s">
        <v>260</v>
      </c>
      <c r="E48" s="482" t="e">
        <f ca="1">_xll.Get_Balance(E40,"YTD","USD","Total","A","","001",$A$40,"GD","WA","DL")</f>
        <v>#NAME?</v>
      </c>
      <c r="F48" s="482" t="e">
        <f ca="1">_xll.Get_Balance(F40,"YTD","USD","Total","A","","001",$A$40,"GD","WA","DL")</f>
        <v>#NAME?</v>
      </c>
      <c r="G48" s="482" t="e">
        <f ca="1">_xll.Get_Balance(G40,"YTD","USD","Total","A","","001",$A$40,"GD","WA","DL")</f>
        <v>#NAME?</v>
      </c>
      <c r="H48" s="482" t="e">
        <f ca="1">_xll.Get_Balance(H40,"YTD","USD","Total","A","","001",$A$40,"GD","WA","DL")</f>
        <v>#NAME?</v>
      </c>
      <c r="I48" s="482">
        <v>1256080.45</v>
      </c>
      <c r="J48" s="482">
        <v>1153258.99</v>
      </c>
      <c r="K48" s="482">
        <v>1078717.32</v>
      </c>
      <c r="L48" s="482">
        <v>1033496.46</v>
      </c>
      <c r="M48" s="482">
        <v>1007906.96</v>
      </c>
      <c r="N48" s="482">
        <v>987738.65</v>
      </c>
      <c r="O48" s="482">
        <v>972066.91</v>
      </c>
      <c r="P48" s="482">
        <v>955827.69</v>
      </c>
      <c r="Q48" s="482">
        <v>935485.19</v>
      </c>
      <c r="R48" s="482">
        <v>900376.96</v>
      </c>
      <c r="S48" s="482">
        <v>-1984640.57</v>
      </c>
      <c r="T48" s="482">
        <v>-1530288.56</v>
      </c>
      <c r="U48" s="482" t="e">
        <f ca="1">_xll.Get_Balance(U40,"YTD","USD","Total","A","","001",$A$40,"GD","WA","DL")</f>
        <v>#NAME?</v>
      </c>
      <c r="V48" s="482" t="e">
        <f ca="1">_xll.Get_Balance(V40,"YTD","USD","Total","A","","001",$A$40,"GD","WA","DL")</f>
        <v>#NAME?</v>
      </c>
      <c r="W48" s="482" t="e">
        <f ca="1">_xll.Get_Balance(W40,"YTD","USD","Total","A","","001",$A$40,"GD","WA","DL")</f>
        <v>#NAME?</v>
      </c>
      <c r="X48" s="482" t="e">
        <f ca="1">_xll.Get_Balance(X40,"YTD","USD","Total","A","","001",$A$40,"GD","WA","DL")</f>
        <v>#NAME?</v>
      </c>
      <c r="Y48" s="482" t="e">
        <f ca="1">_xll.Get_Balance(Y40,"YTD","USD","Total","A","","001",$A$40,"GD","WA","DL")</f>
        <v>#NAME?</v>
      </c>
      <c r="Z48" s="482" t="e">
        <f ca="1">_xll.Get_Balance(Z40,"YTD","USD","Total","A","","001",$A$40,"GD","WA","DL")</f>
        <v>#NAME?</v>
      </c>
      <c r="AA48" s="482" t="e">
        <f ca="1">_xll.Get_Balance(AA40,"YTD","USD","Total","A","","001",$A$40,"GD","WA","DL")</f>
        <v>#NAME?</v>
      </c>
      <c r="AB48" s="482" t="e">
        <f ca="1">_xll.Get_Balance(AB40,"YTD","USD","Total","A","","001",$A$40,"GD","WA","DL")</f>
        <v>#NAME?</v>
      </c>
      <c r="AC48" s="482" t="e">
        <f ca="1">_xll.Get_Balance(AC40,"YTD","USD","Total","A","","001",$A$40,"GD","WA","DL")</f>
        <v>#NAME?</v>
      </c>
      <c r="AD48" s="482" t="e">
        <f ca="1">_xll.Get_Balance(AD40,"YTD","USD","Total","A","","001",$A$40,"GD","WA","DL")</f>
        <v>#NAME?</v>
      </c>
      <c r="AE48" s="482" t="e">
        <f ca="1">_xll.Get_Balance(AE40,"YTD","USD","Total","A","","001",$A$40,"GD","WA","DL")</f>
        <v>#NAME?</v>
      </c>
      <c r="AF48" s="482" t="e">
        <f ca="1">_xll.Get_Balance(AF40,"YTD","USD","Total","A","","001",$A$40,"GD","WA","DL")</f>
        <v>#NAME?</v>
      </c>
      <c r="AL48" s="563"/>
    </row>
    <row r="49" spans="1:38">
      <c r="B49" s="481" t="s">
        <v>245</v>
      </c>
      <c r="E49" s="482" t="e">
        <f t="shared" ref="E49:H49" ca="1" si="31">E47-E48</f>
        <v>#NAME?</v>
      </c>
      <c r="F49" s="482" t="e">
        <f t="shared" ca="1" si="31"/>
        <v>#NAME?</v>
      </c>
      <c r="G49" s="482" t="e">
        <f t="shared" ca="1" si="31"/>
        <v>#NAME?</v>
      </c>
      <c r="H49" s="482" t="e">
        <f t="shared" ca="1" si="31"/>
        <v>#NAME?</v>
      </c>
      <c r="I49" s="482">
        <v>-0.21875757304951549</v>
      </c>
      <c r="J49" s="482">
        <v>-0.21689156536012888</v>
      </c>
      <c r="K49" s="482">
        <v>-0.21541669988073409</v>
      </c>
      <c r="L49" s="482">
        <v>-0.2173989387229085</v>
      </c>
      <c r="M49" s="482">
        <v>-0.22129416605457664</v>
      </c>
      <c r="N49" s="482">
        <v>-0.22319256491027772</v>
      </c>
      <c r="O49" s="482">
        <v>-0.22063768224325031</v>
      </c>
      <c r="P49" s="482">
        <v>-0.21570286224596202</v>
      </c>
      <c r="Q49" s="482">
        <v>-0.21724764502141625</v>
      </c>
      <c r="R49" s="482">
        <v>-0.21611696772743016</v>
      </c>
      <c r="S49" s="482">
        <v>-0.21330437320284545</v>
      </c>
      <c r="T49" s="482">
        <v>-0.21690394775941968</v>
      </c>
      <c r="U49" s="482" t="e">
        <f t="shared" ref="U49:AF49" ca="1" si="32">U47-U48</f>
        <v>#NAME?</v>
      </c>
      <c r="V49" s="482" t="e">
        <f t="shared" ca="1" si="32"/>
        <v>#NAME?</v>
      </c>
      <c r="W49" s="482" t="e">
        <f t="shared" ca="1" si="32"/>
        <v>#NAME?</v>
      </c>
      <c r="X49" s="482" t="e">
        <f t="shared" ca="1" si="32"/>
        <v>#NAME?</v>
      </c>
      <c r="Y49" s="482" t="e">
        <f t="shared" ca="1" si="32"/>
        <v>#NAME?</v>
      </c>
      <c r="Z49" s="482" t="e">
        <f t="shared" ca="1" si="32"/>
        <v>#NAME?</v>
      </c>
      <c r="AA49" s="482" t="e">
        <f t="shared" ca="1" si="32"/>
        <v>#NAME?</v>
      </c>
      <c r="AB49" s="482" t="e">
        <f t="shared" ca="1" si="32"/>
        <v>#NAME?</v>
      </c>
      <c r="AC49" s="482" t="e">
        <f t="shared" ca="1" si="32"/>
        <v>#NAME?</v>
      </c>
      <c r="AD49" s="482" t="e">
        <f t="shared" ca="1" si="32"/>
        <v>#NAME?</v>
      </c>
      <c r="AE49" s="482" t="e">
        <f t="shared" ca="1" si="32"/>
        <v>#NAME?</v>
      </c>
      <c r="AF49" s="482" t="e">
        <f t="shared" ca="1" si="32"/>
        <v>#NAME?</v>
      </c>
    </row>
    <row r="51" spans="1:38">
      <c r="A51" s="483" t="s">
        <v>292</v>
      </c>
      <c r="E51" s="535"/>
      <c r="F51" s="535"/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5"/>
      <c r="S51" s="535"/>
      <c r="T51" s="535"/>
      <c r="U51" s="535"/>
      <c r="V51" s="535"/>
      <c r="W51" s="535"/>
      <c r="X51" s="535"/>
      <c r="Y51" s="535"/>
      <c r="Z51" s="535"/>
      <c r="AA51" s="535"/>
      <c r="AB51" s="535"/>
      <c r="AC51" s="535"/>
      <c r="AD51" s="535"/>
      <c r="AE51" s="535"/>
      <c r="AF51" s="535"/>
    </row>
    <row r="52" spans="1:38">
      <c r="A52" s="484">
        <v>191025</v>
      </c>
      <c r="B52" s="485" t="s">
        <v>256</v>
      </c>
      <c r="C52" s="486" t="s">
        <v>251</v>
      </c>
      <c r="D52" s="486" t="s">
        <v>252</v>
      </c>
      <c r="E52" s="484">
        <v>201309</v>
      </c>
      <c r="F52" s="484">
        <f>E52+1</f>
        <v>201310</v>
      </c>
      <c r="G52" s="484">
        <f>F52+1</f>
        <v>201311</v>
      </c>
      <c r="H52" s="484">
        <f>G52+1</f>
        <v>201312</v>
      </c>
      <c r="I52" s="484">
        <v>201401</v>
      </c>
      <c r="J52" s="484">
        <v>201402</v>
      </c>
      <c r="K52" s="484">
        <v>201403</v>
      </c>
      <c r="L52" s="484">
        <v>201404</v>
      </c>
      <c r="M52" s="484">
        <v>201405</v>
      </c>
      <c r="N52" s="484">
        <v>201406</v>
      </c>
      <c r="O52" s="484">
        <v>201407</v>
      </c>
      <c r="P52" s="484">
        <v>201408</v>
      </c>
      <c r="Q52" s="484">
        <v>201409</v>
      </c>
      <c r="R52" s="484">
        <v>201410</v>
      </c>
      <c r="S52" s="484">
        <v>201411</v>
      </c>
      <c r="T52" s="484">
        <v>201412</v>
      </c>
      <c r="U52" s="484">
        <v>201501</v>
      </c>
      <c r="V52" s="484">
        <f t="shared" ref="V52:AD52" si="33">U52+1</f>
        <v>201502</v>
      </c>
      <c r="W52" s="484">
        <f t="shared" si="33"/>
        <v>201503</v>
      </c>
      <c r="X52" s="484">
        <f t="shared" si="33"/>
        <v>201504</v>
      </c>
      <c r="Y52" s="484">
        <f t="shared" si="33"/>
        <v>201505</v>
      </c>
      <c r="Z52" s="484">
        <f t="shared" si="33"/>
        <v>201506</v>
      </c>
      <c r="AA52" s="484">
        <f t="shared" si="33"/>
        <v>201507</v>
      </c>
      <c r="AB52" s="484">
        <f t="shared" si="33"/>
        <v>201508</v>
      </c>
      <c r="AC52" s="484">
        <f t="shared" si="33"/>
        <v>201509</v>
      </c>
      <c r="AD52" s="484">
        <f t="shared" si="33"/>
        <v>201510</v>
      </c>
      <c r="AE52" s="484">
        <f>AD52+1</f>
        <v>201511</v>
      </c>
      <c r="AF52" s="484">
        <f t="shared" ref="AF52" si="34">AE52+1</f>
        <v>201512</v>
      </c>
      <c r="AL52" s="563"/>
    </row>
    <row r="53" spans="1:38">
      <c r="A53" s="483"/>
      <c r="B53" s="481" t="s">
        <v>37</v>
      </c>
      <c r="C53" s="491">
        <f>SUM(U53:AF53)</f>
        <v>83964548</v>
      </c>
      <c r="D53" s="491">
        <f t="shared" ref="D53:D62" si="35">SUM(G53:R53)</f>
        <v>118507804</v>
      </c>
      <c r="E53" s="491">
        <v>2647538</v>
      </c>
      <c r="F53" s="491">
        <v>9244353</v>
      </c>
      <c r="G53" s="491">
        <v>15070678</v>
      </c>
      <c r="H53" s="491">
        <v>22636008</v>
      </c>
      <c r="I53" s="543">
        <v>20682450</v>
      </c>
      <c r="J53" s="543">
        <v>20184373</v>
      </c>
      <c r="K53" s="543">
        <v>14096743</v>
      </c>
      <c r="L53" s="543">
        <v>7776328</v>
      </c>
      <c r="M53" s="543">
        <v>3691303</v>
      </c>
      <c r="N53" s="543">
        <v>2545780</v>
      </c>
      <c r="O53" s="543">
        <v>2095088</v>
      </c>
      <c r="P53" s="543">
        <v>2047777</v>
      </c>
      <c r="Q53" s="543">
        <v>2727612</v>
      </c>
      <c r="R53" s="543">
        <v>4953664</v>
      </c>
      <c r="S53" s="543">
        <v>15823016</v>
      </c>
      <c r="T53" s="543">
        <v>19056609</v>
      </c>
      <c r="U53" s="543">
        <f>Jan!$G23</f>
        <v>19909674</v>
      </c>
      <c r="V53" s="543">
        <f>Feb!$G23</f>
        <v>13011547</v>
      </c>
      <c r="W53" s="543">
        <f>Mar!$G23</f>
        <v>10479005</v>
      </c>
      <c r="X53" s="543">
        <f>Apr!$G23</f>
        <v>7714478</v>
      </c>
      <c r="Y53" s="543">
        <f>May!$G23</f>
        <v>3297360</v>
      </c>
      <c r="Z53" s="543">
        <f>Jun!$G23</f>
        <v>1968489</v>
      </c>
      <c r="AA53" s="543">
        <f>Jul!$G23</f>
        <v>2145139</v>
      </c>
      <c r="AB53" s="543">
        <f>Aug!$G23</f>
        <v>1956853</v>
      </c>
      <c r="AC53" s="543">
        <f>Sep!$G23</f>
        <v>3273457</v>
      </c>
      <c r="AD53" s="543">
        <f>Oct!$G23</f>
        <v>4833518</v>
      </c>
      <c r="AE53" s="543">
        <f>Nov!$G23</f>
        <v>15375028</v>
      </c>
      <c r="AF53" s="543">
        <f>Dec!$G23</f>
        <v>0</v>
      </c>
    </row>
    <row r="54" spans="1:38">
      <c r="A54" s="483"/>
      <c r="B54" s="481" t="s">
        <v>38</v>
      </c>
      <c r="C54" s="491">
        <f t="shared" ref="C54:C61" si="36">SUM(U54:AF54)</f>
        <v>35336899</v>
      </c>
      <c r="D54" s="491">
        <f t="shared" si="35"/>
        <v>47081391</v>
      </c>
      <c r="E54" s="491">
        <v>1599551</v>
      </c>
      <c r="F54" s="491">
        <v>3880001</v>
      </c>
      <c r="G54" s="491">
        <v>5651303</v>
      </c>
      <c r="H54" s="491">
        <v>7518125</v>
      </c>
      <c r="I54" s="543">
        <v>7025543</v>
      </c>
      <c r="J54" s="543">
        <v>6903553</v>
      </c>
      <c r="K54" s="543">
        <v>5310734</v>
      </c>
      <c r="L54" s="543">
        <v>3390429</v>
      </c>
      <c r="M54" s="543">
        <v>2183609</v>
      </c>
      <c r="N54" s="543">
        <v>1741655</v>
      </c>
      <c r="O54" s="543">
        <v>1476567</v>
      </c>
      <c r="P54" s="543">
        <v>1364087</v>
      </c>
      <c r="Q54" s="543">
        <v>1739755</v>
      </c>
      <c r="R54" s="543">
        <v>2776031</v>
      </c>
      <c r="S54" s="543">
        <v>6141604</v>
      </c>
      <c r="T54" s="543">
        <v>6045485</v>
      </c>
      <c r="U54" s="543">
        <f>Jan!$G24</f>
        <v>6173752</v>
      </c>
      <c r="V54" s="543">
        <f>Feb!$G24</f>
        <v>5630395</v>
      </c>
      <c r="W54" s="543">
        <f>Mar!$G24</f>
        <v>4030672</v>
      </c>
      <c r="X54" s="543">
        <f>Apr!$G24</f>
        <v>3448422</v>
      </c>
      <c r="Y54" s="543">
        <f>May!$G24</f>
        <v>1901440</v>
      </c>
      <c r="Z54" s="543">
        <f>Jun!$G24</f>
        <v>1561904</v>
      </c>
      <c r="AA54" s="543">
        <f>Jul!$G24</f>
        <v>1323231</v>
      </c>
      <c r="AB54" s="543">
        <f>Aug!$G24</f>
        <v>1284422</v>
      </c>
      <c r="AC54" s="543">
        <f>Sep!$G24</f>
        <v>1854848</v>
      </c>
      <c r="AD54" s="543">
        <f>Oct!$G25</f>
        <v>2624293</v>
      </c>
      <c r="AE54" s="543">
        <f>Nov!$G25</f>
        <v>5503520</v>
      </c>
      <c r="AF54" s="543">
        <f>Dec!$G24</f>
        <v>0</v>
      </c>
    </row>
    <row r="55" spans="1:38">
      <c r="A55" s="483"/>
      <c r="B55" s="481" t="s">
        <v>39</v>
      </c>
      <c r="C55" s="491">
        <f t="shared" si="36"/>
        <v>0</v>
      </c>
      <c r="D55" s="491">
        <f t="shared" si="35"/>
        <v>0</v>
      </c>
      <c r="E55" s="491">
        <v>0</v>
      </c>
      <c r="F55" s="491">
        <v>0</v>
      </c>
      <c r="G55" s="491">
        <v>0</v>
      </c>
      <c r="H55" s="491">
        <v>0</v>
      </c>
      <c r="I55" s="543">
        <v>0</v>
      </c>
      <c r="J55" s="543">
        <v>0</v>
      </c>
      <c r="K55" s="543">
        <v>0</v>
      </c>
      <c r="L55" s="543">
        <v>0</v>
      </c>
      <c r="M55" s="543">
        <v>0</v>
      </c>
      <c r="N55" s="543">
        <v>0</v>
      </c>
      <c r="O55" s="543">
        <v>0</v>
      </c>
      <c r="P55" s="543">
        <v>0</v>
      </c>
      <c r="Q55" s="543">
        <v>0</v>
      </c>
      <c r="R55" s="543">
        <v>0</v>
      </c>
      <c r="S55" s="543">
        <v>0</v>
      </c>
      <c r="T55" s="543">
        <v>0</v>
      </c>
      <c r="U55" s="543">
        <f>Jan!$G25</f>
        <v>0</v>
      </c>
      <c r="V55" s="543">
        <f>Feb!$G25</f>
        <v>0</v>
      </c>
      <c r="W55" s="543">
        <f>Mar!$G25</f>
        <v>0</v>
      </c>
      <c r="X55" s="543">
        <f>Apr!$G25</f>
        <v>0</v>
      </c>
      <c r="Y55" s="543">
        <f>May!$G25</f>
        <v>0</v>
      </c>
      <c r="Z55" s="543">
        <f>Jun!$G25</f>
        <v>0</v>
      </c>
      <c r="AA55" s="543">
        <f>Jul!$G25</f>
        <v>0</v>
      </c>
      <c r="AB55" s="543">
        <f>Aug!$G25</f>
        <v>0</v>
      </c>
      <c r="AC55" s="543">
        <f>Sep!$G25</f>
        <v>0</v>
      </c>
      <c r="AD55" s="543">
        <f>Oct!$G26</f>
        <v>0</v>
      </c>
      <c r="AE55" s="543">
        <f>Nov!$G26</f>
        <v>0</v>
      </c>
      <c r="AF55" s="543">
        <f>Dec!$G25</f>
        <v>0</v>
      </c>
    </row>
    <row r="56" spans="1:38">
      <c r="A56" s="483"/>
      <c r="B56" s="481" t="s">
        <v>40</v>
      </c>
      <c r="C56" s="491">
        <f t="shared" si="36"/>
        <v>4051936</v>
      </c>
      <c r="D56" s="491">
        <f t="shared" si="35"/>
        <v>4993299</v>
      </c>
      <c r="E56" s="491">
        <v>344046</v>
      </c>
      <c r="F56" s="491">
        <v>595792</v>
      </c>
      <c r="G56" s="491">
        <v>396185</v>
      </c>
      <c r="H56" s="491">
        <v>588721</v>
      </c>
      <c r="I56" s="543">
        <v>534459</v>
      </c>
      <c r="J56" s="543">
        <v>540817</v>
      </c>
      <c r="K56" s="543">
        <v>425342</v>
      </c>
      <c r="L56" s="543">
        <v>407197</v>
      </c>
      <c r="M56" s="543">
        <v>340947</v>
      </c>
      <c r="N56" s="543">
        <v>361843</v>
      </c>
      <c r="O56" s="543">
        <v>251184</v>
      </c>
      <c r="P56" s="543">
        <v>332621</v>
      </c>
      <c r="Q56" s="543">
        <v>330926</v>
      </c>
      <c r="R56" s="543">
        <v>483057</v>
      </c>
      <c r="S56" s="543">
        <v>518418</v>
      </c>
      <c r="T56" s="543">
        <v>377457</v>
      </c>
      <c r="U56" s="543">
        <f>Jan!$G26</f>
        <v>513680</v>
      </c>
      <c r="V56" s="543">
        <f>Feb!$G26</f>
        <v>431734</v>
      </c>
      <c r="W56" s="543">
        <f>Mar!$G26</f>
        <v>335852</v>
      </c>
      <c r="X56" s="543">
        <f>Apr!$G26</f>
        <v>432834</v>
      </c>
      <c r="Y56" s="543">
        <f>May!$G26</f>
        <v>249954</v>
      </c>
      <c r="Z56" s="543">
        <f>Jun!$G26</f>
        <v>322862</v>
      </c>
      <c r="AA56" s="543">
        <f>Jul!$G26</f>
        <v>247078</v>
      </c>
      <c r="AB56" s="543">
        <f>Aug!$G26</f>
        <v>274690</v>
      </c>
      <c r="AC56" s="543">
        <f>Sep!$G26</f>
        <v>336073</v>
      </c>
      <c r="AD56" s="543">
        <f>Oct!$G27</f>
        <v>365802</v>
      </c>
      <c r="AE56" s="543">
        <f>Nov!$G27</f>
        <v>541377</v>
      </c>
      <c r="AF56" s="543">
        <f>Dec!$G26</f>
        <v>0</v>
      </c>
    </row>
    <row r="57" spans="1:38">
      <c r="A57" s="483"/>
      <c r="B57" s="481" t="s">
        <v>41</v>
      </c>
      <c r="C57" s="491">
        <f t="shared" si="36"/>
        <v>504443</v>
      </c>
      <c r="D57" s="491">
        <f t="shared" si="35"/>
        <v>658607</v>
      </c>
      <c r="E57" s="491">
        <v>31388</v>
      </c>
      <c r="F57" s="491">
        <v>40500</v>
      </c>
      <c r="G57" s="491">
        <v>51667</v>
      </c>
      <c r="H57" s="491">
        <v>84319</v>
      </c>
      <c r="I57" s="543">
        <v>95515</v>
      </c>
      <c r="J57" s="543">
        <v>89875</v>
      </c>
      <c r="K57" s="543">
        <v>79687</v>
      </c>
      <c r="L57" s="543">
        <v>48237</v>
      </c>
      <c r="M57" s="543">
        <v>57496</v>
      </c>
      <c r="N57" s="543">
        <v>29984</v>
      </c>
      <c r="O57" s="543">
        <v>36453</v>
      </c>
      <c r="P57" s="543">
        <v>23994</v>
      </c>
      <c r="Q57" s="543">
        <v>27780</v>
      </c>
      <c r="R57" s="543">
        <v>33600</v>
      </c>
      <c r="S57" s="543">
        <v>46503</v>
      </c>
      <c r="T57" s="543">
        <v>74423</v>
      </c>
      <c r="U57" s="543">
        <f>Jan!$G27</f>
        <v>81674</v>
      </c>
      <c r="V57" s="543">
        <f>Feb!$G27</f>
        <v>68846</v>
      </c>
      <c r="W57" s="543">
        <f>Mar!$G27</f>
        <v>57610</v>
      </c>
      <c r="X57" s="543">
        <f>Apr!$G27</f>
        <v>49631</v>
      </c>
      <c r="Y57" s="543">
        <f>May!$G27</f>
        <v>46984</v>
      </c>
      <c r="Z57" s="543">
        <f>Jun!$G27</f>
        <v>30135</v>
      </c>
      <c r="AA57" s="543">
        <f>Jul!$G27</f>
        <v>28317</v>
      </c>
      <c r="AB57" s="543">
        <f>Aug!$G27</f>
        <v>27313</v>
      </c>
      <c r="AC57" s="543">
        <f>Sep!$G27</f>
        <v>29790</v>
      </c>
      <c r="AD57" s="543">
        <f>Oct!$G28</f>
        <v>36487</v>
      </c>
      <c r="AE57" s="543">
        <f>Nov!$G28</f>
        <v>47656</v>
      </c>
      <c r="AF57" s="543">
        <f>Dec!$G27</f>
        <v>0</v>
      </c>
    </row>
    <row r="58" spans="1:38">
      <c r="A58" s="483"/>
      <c r="B58" s="481" t="s">
        <v>42</v>
      </c>
      <c r="C58" s="491">
        <f t="shared" si="36"/>
        <v>0</v>
      </c>
      <c r="D58" s="491">
        <f t="shared" si="35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f>Jan!$G28</f>
        <v>0</v>
      </c>
      <c r="V58" s="543">
        <f>Feb!$G28</f>
        <v>0</v>
      </c>
      <c r="W58" s="543">
        <f>Mar!$G28</f>
        <v>0</v>
      </c>
      <c r="X58" s="543">
        <f>Apr!$G28</f>
        <v>0</v>
      </c>
      <c r="Y58" s="543">
        <f>May!$G28</f>
        <v>0</v>
      </c>
      <c r="Z58" s="543">
        <f>Jun!$G28</f>
        <v>0</v>
      </c>
      <c r="AA58" s="543">
        <f>Jul!$G28</f>
        <v>0</v>
      </c>
      <c r="AB58" s="543">
        <f>Aug!$G28</f>
        <v>0</v>
      </c>
      <c r="AC58" s="543">
        <f>Sep!$G28</f>
        <v>0</v>
      </c>
      <c r="AD58" s="543">
        <f>Oct!$G29</f>
        <v>0</v>
      </c>
      <c r="AE58" s="543">
        <f>Nov!$G29</f>
        <v>0</v>
      </c>
      <c r="AF58" s="543">
        <f>Dec!$G28</f>
        <v>0</v>
      </c>
    </row>
    <row r="59" spans="1:38">
      <c r="A59" s="483"/>
      <c r="B59" s="481" t="s">
        <v>43</v>
      </c>
      <c r="C59" s="491">
        <f t="shared" si="36"/>
        <v>871865</v>
      </c>
      <c r="D59" s="491">
        <f t="shared" si="35"/>
        <v>1097701</v>
      </c>
      <c r="E59" s="491">
        <v>54453</v>
      </c>
      <c r="F59" s="491">
        <v>68629</v>
      </c>
      <c r="G59" s="491">
        <v>142001</v>
      </c>
      <c r="H59" s="491">
        <v>132732</v>
      </c>
      <c r="I59" s="543">
        <v>149468</v>
      </c>
      <c r="J59" s="543">
        <v>140495</v>
      </c>
      <c r="K59" s="543">
        <v>132979</v>
      </c>
      <c r="L59" s="543">
        <v>91026</v>
      </c>
      <c r="M59" s="543">
        <v>83802</v>
      </c>
      <c r="N59" s="543">
        <v>58384</v>
      </c>
      <c r="O59" s="543">
        <v>45870</v>
      </c>
      <c r="P59" s="543">
        <v>32437</v>
      </c>
      <c r="Q59" s="543">
        <v>37881</v>
      </c>
      <c r="R59" s="543">
        <v>50626</v>
      </c>
      <c r="S59" s="543">
        <v>67642</v>
      </c>
      <c r="T59" s="543">
        <v>112489</v>
      </c>
      <c r="U59" s="543">
        <f>Jan!$G29</f>
        <v>129251</v>
      </c>
      <c r="V59" s="543">
        <f>Feb!$G29</f>
        <v>123377</v>
      </c>
      <c r="W59" s="543">
        <f>Mar!$G29</f>
        <v>100117</v>
      </c>
      <c r="X59" s="543">
        <f>Apr!$G29</f>
        <v>81076</v>
      </c>
      <c r="Y59" s="543">
        <f>May!$G29</f>
        <v>83536</v>
      </c>
      <c r="Z59" s="543">
        <f>Jun!$G29</f>
        <v>56511</v>
      </c>
      <c r="AA59" s="543">
        <f>Jul!$G29</f>
        <v>13364</v>
      </c>
      <c r="AB59" s="543">
        <f>Aug!$G29</f>
        <v>68158</v>
      </c>
      <c r="AC59" s="543">
        <f>Sep!$G29</f>
        <v>45470</v>
      </c>
      <c r="AD59" s="543">
        <f>Oct!$G30</f>
        <v>96224</v>
      </c>
      <c r="AE59" s="543">
        <f>Nov!$G30</f>
        <v>74781</v>
      </c>
      <c r="AF59" s="543">
        <f>Dec!$G29</f>
        <v>0</v>
      </c>
    </row>
    <row r="60" spans="1:38">
      <c r="A60" s="483"/>
      <c r="B60" s="481" t="s">
        <v>74</v>
      </c>
      <c r="C60" s="491">
        <f t="shared" si="36"/>
        <v>26235211</v>
      </c>
      <c r="D60" s="491">
        <f t="shared" si="35"/>
        <v>30501971</v>
      </c>
      <c r="E60" s="491">
        <v>1818699</v>
      </c>
      <c r="F60" s="491">
        <v>2531895</v>
      </c>
      <c r="G60" s="491">
        <v>2936207</v>
      </c>
      <c r="H60" s="491">
        <v>3675604</v>
      </c>
      <c r="I60" s="543">
        <v>3517013</v>
      </c>
      <c r="J60" s="543">
        <v>3103551</v>
      </c>
      <c r="K60" s="543">
        <v>2882510</v>
      </c>
      <c r="L60" s="543">
        <v>2426511</v>
      </c>
      <c r="M60" s="543">
        <v>2096539</v>
      </c>
      <c r="N60" s="543">
        <v>1865473</v>
      </c>
      <c r="O60" s="543">
        <v>1934510</v>
      </c>
      <c r="P60" s="543">
        <v>1781233</v>
      </c>
      <c r="Q60" s="543">
        <v>1975142</v>
      </c>
      <c r="R60" s="543">
        <v>2307678</v>
      </c>
      <c r="S60" s="543">
        <v>3052956</v>
      </c>
      <c r="T60" s="543">
        <v>3180451</v>
      </c>
      <c r="U60" s="543">
        <f>Jan!$G30</f>
        <v>3286166</v>
      </c>
      <c r="V60" s="543">
        <f>Feb!$G30</f>
        <v>2735718</v>
      </c>
      <c r="W60" s="543">
        <f>Mar!$G30</f>
        <v>2608561</v>
      </c>
      <c r="X60" s="543">
        <f>Apr!$G30</f>
        <v>2436951</v>
      </c>
      <c r="Y60" s="543">
        <f>May!$G30</f>
        <v>2203136</v>
      </c>
      <c r="Z60" s="543">
        <f>Jun!$G30</f>
        <v>1941783</v>
      </c>
      <c r="AA60" s="543">
        <f>Jul!$G30</f>
        <v>1912819</v>
      </c>
      <c r="AB60" s="543">
        <f>Aug!$G30</f>
        <v>1943542</v>
      </c>
      <c r="AC60" s="543">
        <f>Sep!$G30</f>
        <v>1945064</v>
      </c>
      <c r="AD60" s="543">
        <f>Oct!$G31</f>
        <v>2201297</v>
      </c>
      <c r="AE60" s="543">
        <f>Nov!$G31</f>
        <v>3020174</v>
      </c>
      <c r="AF60" s="543">
        <f>Dec!$G30</f>
        <v>0</v>
      </c>
    </row>
    <row r="61" spans="1:38" ht="16" thickBot="1">
      <c r="A61" s="483"/>
      <c r="B61" s="481" t="s">
        <v>21</v>
      </c>
      <c r="C61" s="542">
        <f t="shared" si="36"/>
        <v>150964902</v>
      </c>
      <c r="D61" s="542">
        <f t="shared" si="35"/>
        <v>202840773</v>
      </c>
      <c r="E61" s="542">
        <f>SUM(E53:E60)</f>
        <v>6495675</v>
      </c>
      <c r="F61" s="542">
        <f>SUM(F53:F60)</f>
        <v>16361170</v>
      </c>
      <c r="G61" s="542">
        <f t="shared" ref="G61:H61" si="37">SUM(G53:G60)</f>
        <v>24248041</v>
      </c>
      <c r="H61" s="542">
        <f t="shared" si="37"/>
        <v>34635509</v>
      </c>
      <c r="I61" s="542">
        <v>32004448</v>
      </c>
      <c r="J61" s="542">
        <v>30962664</v>
      </c>
      <c r="K61" s="542">
        <v>22927995</v>
      </c>
      <c r="L61" s="542">
        <v>14139728</v>
      </c>
      <c r="M61" s="542">
        <v>8453696</v>
      </c>
      <c r="N61" s="542">
        <v>6603119</v>
      </c>
      <c r="O61" s="542">
        <v>5839672</v>
      </c>
      <c r="P61" s="542">
        <v>5582149</v>
      </c>
      <c r="Q61" s="542">
        <v>6839096</v>
      </c>
      <c r="R61" s="542">
        <v>10604656</v>
      </c>
      <c r="S61" s="542">
        <v>25650139</v>
      </c>
      <c r="T61" s="542">
        <v>28846914</v>
      </c>
      <c r="U61" s="542">
        <f t="shared" ref="U61:AF61" si="38">SUM(U53:U60)</f>
        <v>30094197</v>
      </c>
      <c r="V61" s="542">
        <f t="shared" si="38"/>
        <v>22001617</v>
      </c>
      <c r="W61" s="542">
        <f t="shared" si="38"/>
        <v>17611817</v>
      </c>
      <c r="X61" s="542">
        <f t="shared" si="38"/>
        <v>14163392</v>
      </c>
      <c r="Y61" s="542">
        <f t="shared" si="38"/>
        <v>7782410</v>
      </c>
      <c r="Z61" s="542">
        <f t="shared" si="38"/>
        <v>5881684</v>
      </c>
      <c r="AA61" s="542">
        <f t="shared" si="38"/>
        <v>5669948</v>
      </c>
      <c r="AB61" s="542">
        <f t="shared" si="38"/>
        <v>5554978</v>
      </c>
      <c r="AC61" s="542">
        <f t="shared" si="38"/>
        <v>7484702</v>
      </c>
      <c r="AD61" s="542">
        <f t="shared" si="38"/>
        <v>10157621</v>
      </c>
      <c r="AE61" s="542">
        <f t="shared" si="38"/>
        <v>24562536</v>
      </c>
      <c r="AF61" s="542">
        <f t="shared" si="38"/>
        <v>0</v>
      </c>
    </row>
    <row r="62" spans="1:38" ht="16" thickTop="1">
      <c r="A62" s="483"/>
      <c r="B62" s="481" t="s">
        <v>269</v>
      </c>
      <c r="C62" s="491">
        <f>SUM(U62:AF62)</f>
        <v>69707631</v>
      </c>
      <c r="D62" s="491">
        <f t="shared" si="35"/>
        <v>202840773</v>
      </c>
      <c r="E62" s="491">
        <v>6495675</v>
      </c>
      <c r="F62" s="491">
        <v>16361170</v>
      </c>
      <c r="G62" s="491">
        <v>24248041</v>
      </c>
      <c r="H62" s="491">
        <v>34635509</v>
      </c>
      <c r="I62" s="491">
        <v>32004448</v>
      </c>
      <c r="J62" s="491">
        <v>30962664</v>
      </c>
      <c r="K62" s="491">
        <v>22927995</v>
      </c>
      <c r="L62" s="491">
        <v>14139728</v>
      </c>
      <c r="M62" s="491">
        <v>8453696</v>
      </c>
      <c r="N62" s="491">
        <v>6603119</v>
      </c>
      <c r="O62" s="491">
        <v>5839672</v>
      </c>
      <c r="P62" s="491">
        <v>5582149</v>
      </c>
      <c r="Q62" s="491">
        <v>6839096</v>
      </c>
      <c r="R62" s="491">
        <v>10604656</v>
      </c>
      <c r="S62" s="491">
        <v>25650139</v>
      </c>
      <c r="T62" s="491">
        <v>28846914</v>
      </c>
      <c r="U62" s="491">
        <v>30094197</v>
      </c>
      <c r="V62" s="491">
        <v>22001617</v>
      </c>
      <c r="W62" s="491">
        <f>Mar!G32</f>
        <v>17611817</v>
      </c>
      <c r="X62" s="491"/>
      <c r="Y62" s="491"/>
      <c r="Z62" s="491"/>
      <c r="AA62" s="491"/>
      <c r="AB62" s="491"/>
      <c r="AC62" s="491"/>
      <c r="AD62" s="491"/>
      <c r="AE62" s="491"/>
      <c r="AF62" s="491"/>
      <c r="AG62" s="491"/>
    </row>
    <row r="63" spans="1:38">
      <c r="A63" s="483" t="s">
        <v>22</v>
      </c>
      <c r="E63" s="535"/>
      <c r="F63" s="535"/>
      <c r="G63" s="535"/>
      <c r="H63" s="535"/>
      <c r="I63" s="535"/>
      <c r="J63" s="535"/>
      <c r="K63" s="535"/>
      <c r="L63" s="535"/>
      <c r="M63" s="535"/>
      <c r="N63" s="535"/>
      <c r="O63" s="535"/>
      <c r="P63" s="535"/>
      <c r="Q63" s="535"/>
      <c r="R63" s="535"/>
      <c r="S63" s="535"/>
      <c r="T63" s="535"/>
      <c r="U63" s="535"/>
      <c r="V63" s="535"/>
      <c r="W63" s="535"/>
      <c r="X63" s="535"/>
      <c r="Y63" s="535"/>
      <c r="Z63" s="535"/>
      <c r="AA63" s="535"/>
      <c r="AB63" s="535"/>
      <c r="AC63" s="535"/>
      <c r="AD63" s="535"/>
      <c r="AE63" s="535"/>
      <c r="AF63" s="535"/>
      <c r="AI63" s="539"/>
    </row>
    <row r="64" spans="1:38">
      <c r="A64" s="484">
        <v>191025</v>
      </c>
      <c r="B64" s="485" t="s">
        <v>256</v>
      </c>
      <c r="E64" s="484">
        <v>201309</v>
      </c>
      <c r="F64" s="484">
        <f>E64+1</f>
        <v>201310</v>
      </c>
      <c r="G64" s="484">
        <f>F64+1</f>
        <v>201311</v>
      </c>
      <c r="H64" s="484">
        <f>G64+1</f>
        <v>201312</v>
      </c>
      <c r="I64" s="484">
        <v>201401</v>
      </c>
      <c r="J64" s="484">
        <v>201402</v>
      </c>
      <c r="K64" s="484">
        <v>201403</v>
      </c>
      <c r="L64" s="484">
        <v>201404</v>
      </c>
      <c r="M64" s="484">
        <v>201405</v>
      </c>
      <c r="N64" s="484">
        <v>201406</v>
      </c>
      <c r="O64" s="484">
        <v>201407</v>
      </c>
      <c r="P64" s="484">
        <v>201408</v>
      </c>
      <c r="Q64" s="484">
        <v>201409</v>
      </c>
      <c r="R64" s="484">
        <v>201410</v>
      </c>
      <c r="S64" s="484">
        <v>201411</v>
      </c>
      <c r="T64" s="484">
        <v>201412</v>
      </c>
      <c r="U64" s="484">
        <v>201501</v>
      </c>
      <c r="V64" s="484">
        <f t="shared" ref="V64:AD64" si="39">U64+1</f>
        <v>201502</v>
      </c>
      <c r="W64" s="484">
        <f t="shared" si="39"/>
        <v>201503</v>
      </c>
      <c r="X64" s="484">
        <f t="shared" si="39"/>
        <v>201504</v>
      </c>
      <c r="Y64" s="484">
        <f t="shared" si="39"/>
        <v>201505</v>
      </c>
      <c r="Z64" s="484">
        <f t="shared" si="39"/>
        <v>201506</v>
      </c>
      <c r="AA64" s="484">
        <f t="shared" si="39"/>
        <v>201507</v>
      </c>
      <c r="AB64" s="484">
        <f t="shared" si="39"/>
        <v>201508</v>
      </c>
      <c r="AC64" s="484">
        <f t="shared" si="39"/>
        <v>201509</v>
      </c>
      <c r="AD64" s="484">
        <f t="shared" si="39"/>
        <v>201510</v>
      </c>
      <c r="AE64" s="484">
        <f>AD64+1</f>
        <v>201511</v>
      </c>
      <c r="AF64" s="484">
        <f t="shared" ref="AF64" si="40">AE64+1</f>
        <v>201512</v>
      </c>
    </row>
    <row r="65" spans="1:39">
      <c r="A65" s="483"/>
      <c r="B65" s="481" t="s">
        <v>37</v>
      </c>
      <c r="E65" s="492">
        <v>-2.1900000000000001E-3</v>
      </c>
      <c r="F65" s="492">
        <v>-2.1900000000000001E-3</v>
      </c>
      <c r="G65" s="496" t="s">
        <v>270</v>
      </c>
      <c r="H65" s="496" t="s">
        <v>270</v>
      </c>
      <c r="I65" s="492">
        <v>-3.8999999999999999E-4</v>
      </c>
      <c r="J65" s="492">
        <v>-3.8999999999999999E-4</v>
      </c>
      <c r="K65" s="492">
        <v>-3.8999999999999999E-4</v>
      </c>
      <c r="L65" s="492">
        <v>-3.8999999999999999E-4</v>
      </c>
      <c r="M65" s="492">
        <v>-3.8999999999999999E-4</v>
      </c>
      <c r="N65" s="492">
        <v>-3.8999999999999999E-4</v>
      </c>
      <c r="O65" s="492">
        <v>-3.8999999999999999E-4</v>
      </c>
      <c r="P65" s="492">
        <v>-3.8999999999999999E-4</v>
      </c>
      <c r="Q65" s="492">
        <v>-3.8999999999999999E-4</v>
      </c>
      <c r="R65" s="492">
        <v>-3.8999999999999999E-4</v>
      </c>
      <c r="S65" s="496" t="s">
        <v>270</v>
      </c>
      <c r="T65" s="496" t="s">
        <v>270</v>
      </c>
      <c r="U65" s="492">
        <v>2.5000000000000001E-4</v>
      </c>
      <c r="V65" s="492">
        <v>2.5000000000000001E-4</v>
      </c>
      <c r="W65" s="492">
        <v>2.5000000000000001E-4</v>
      </c>
      <c r="X65" s="492">
        <v>2.5000000000000001E-4</v>
      </c>
      <c r="Y65" s="492">
        <v>2.5000000000000001E-4</v>
      </c>
      <c r="Z65" s="492">
        <v>2.5000000000000001E-4</v>
      </c>
      <c r="AA65" s="492">
        <v>2.5000000000000001E-4</v>
      </c>
      <c r="AB65" s="492">
        <v>2.5000000000000001E-4</v>
      </c>
      <c r="AC65" s="492">
        <v>2.5000000000000001E-4</v>
      </c>
      <c r="AD65" s="492">
        <v>2.5000000000000001E-4</v>
      </c>
      <c r="AE65" s="496" t="s">
        <v>270</v>
      </c>
      <c r="AF65" s="496" t="s">
        <v>270</v>
      </c>
    </row>
    <row r="66" spans="1:39">
      <c r="A66" s="483"/>
      <c r="B66" s="481" t="s">
        <v>38</v>
      </c>
      <c r="E66" s="492">
        <v>-2.1900000000000001E-3</v>
      </c>
      <c r="F66" s="492">
        <v>-2.1900000000000001E-3</v>
      </c>
      <c r="G66" s="496" t="s">
        <v>270</v>
      </c>
      <c r="H66" s="496" t="s">
        <v>270</v>
      </c>
      <c r="I66" s="492">
        <v>-3.8999999999999999E-4</v>
      </c>
      <c r="J66" s="492">
        <v>-3.8999999999999999E-4</v>
      </c>
      <c r="K66" s="492">
        <v>-3.8999999999999999E-4</v>
      </c>
      <c r="L66" s="492">
        <v>-3.8999999999999999E-4</v>
      </c>
      <c r="M66" s="492">
        <v>-3.8999999999999999E-4</v>
      </c>
      <c r="N66" s="492">
        <v>-3.8999999999999999E-4</v>
      </c>
      <c r="O66" s="492">
        <v>-3.8999999999999999E-4</v>
      </c>
      <c r="P66" s="492">
        <v>-3.8999999999999999E-4</v>
      </c>
      <c r="Q66" s="492">
        <v>-3.8999999999999999E-4</v>
      </c>
      <c r="R66" s="492">
        <v>-3.8999999999999999E-4</v>
      </c>
      <c r="S66" s="496" t="s">
        <v>270</v>
      </c>
      <c r="T66" s="496" t="s">
        <v>270</v>
      </c>
      <c r="U66" s="492">
        <v>2.5000000000000001E-4</v>
      </c>
      <c r="V66" s="492">
        <v>2.5000000000000001E-4</v>
      </c>
      <c r="W66" s="492">
        <v>2.5000000000000001E-4</v>
      </c>
      <c r="X66" s="492">
        <v>2.5000000000000001E-4</v>
      </c>
      <c r="Y66" s="492">
        <v>2.5000000000000001E-4</v>
      </c>
      <c r="Z66" s="492">
        <v>2.5000000000000001E-4</v>
      </c>
      <c r="AA66" s="492">
        <v>2.5000000000000001E-4</v>
      </c>
      <c r="AB66" s="492">
        <v>2.5000000000000001E-4</v>
      </c>
      <c r="AC66" s="492">
        <v>2.5000000000000001E-4</v>
      </c>
      <c r="AD66" s="492">
        <v>2.5000000000000001E-4</v>
      </c>
      <c r="AE66" s="496" t="s">
        <v>270</v>
      </c>
      <c r="AF66" s="496" t="s">
        <v>270</v>
      </c>
    </row>
    <row r="67" spans="1:39">
      <c r="A67" s="483"/>
      <c r="B67" s="481" t="s">
        <v>39</v>
      </c>
      <c r="E67" s="492">
        <v>-2.1900000000000001E-3</v>
      </c>
      <c r="F67" s="492">
        <v>-2.1900000000000001E-3</v>
      </c>
      <c r="G67" s="496" t="s">
        <v>270</v>
      </c>
      <c r="H67" s="496" t="s">
        <v>270</v>
      </c>
      <c r="I67" s="492">
        <v>-3.8999999999999999E-4</v>
      </c>
      <c r="J67" s="492">
        <v>-3.8999999999999999E-4</v>
      </c>
      <c r="K67" s="492">
        <v>-3.8999999999999999E-4</v>
      </c>
      <c r="L67" s="492">
        <v>-3.8999999999999999E-4</v>
      </c>
      <c r="M67" s="492">
        <v>-3.8999999999999999E-4</v>
      </c>
      <c r="N67" s="492">
        <v>-3.8999999999999999E-4</v>
      </c>
      <c r="O67" s="492">
        <v>-3.8999999999999999E-4</v>
      </c>
      <c r="P67" s="492">
        <v>-3.8999999999999999E-4</v>
      </c>
      <c r="Q67" s="492">
        <v>-3.8999999999999999E-4</v>
      </c>
      <c r="R67" s="492">
        <v>-3.8999999999999999E-4</v>
      </c>
      <c r="S67" s="496" t="s">
        <v>270</v>
      </c>
      <c r="T67" s="496" t="s">
        <v>270</v>
      </c>
      <c r="U67" s="492">
        <v>2.5000000000000001E-4</v>
      </c>
      <c r="V67" s="492">
        <v>2.5000000000000001E-4</v>
      </c>
      <c r="W67" s="492">
        <v>2.5000000000000001E-4</v>
      </c>
      <c r="X67" s="492">
        <v>2.5000000000000001E-4</v>
      </c>
      <c r="Y67" s="492">
        <v>2.5000000000000001E-4</v>
      </c>
      <c r="Z67" s="492">
        <v>2.5000000000000001E-4</v>
      </c>
      <c r="AA67" s="492">
        <v>2.5000000000000001E-4</v>
      </c>
      <c r="AB67" s="492">
        <v>2.5000000000000001E-4</v>
      </c>
      <c r="AC67" s="492">
        <v>2.5000000000000001E-4</v>
      </c>
      <c r="AD67" s="492">
        <v>2.5000000000000001E-4</v>
      </c>
      <c r="AE67" s="496" t="s">
        <v>270</v>
      </c>
      <c r="AF67" s="496" t="s">
        <v>270</v>
      </c>
    </row>
    <row r="68" spans="1:39">
      <c r="A68" s="483"/>
      <c r="B68" s="481" t="s">
        <v>40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270</v>
      </c>
      <c r="AF68" s="496" t="s">
        <v>270</v>
      </c>
    </row>
    <row r="69" spans="1:39">
      <c r="A69" s="483"/>
      <c r="B69" s="481" t="s">
        <v>41</v>
      </c>
      <c r="E69" s="492">
        <v>-2.1900000000000001E-3</v>
      </c>
      <c r="F69" s="492">
        <v>-2.1900000000000001E-3</v>
      </c>
      <c r="G69" s="496" t="s">
        <v>270</v>
      </c>
      <c r="H69" s="496" t="s">
        <v>270</v>
      </c>
      <c r="I69" s="492">
        <v>-3.8999999999999999E-4</v>
      </c>
      <c r="J69" s="492">
        <v>-3.8999999999999999E-4</v>
      </c>
      <c r="K69" s="492">
        <v>-3.8999999999999999E-4</v>
      </c>
      <c r="L69" s="492">
        <v>-3.8999999999999999E-4</v>
      </c>
      <c r="M69" s="492">
        <v>-3.8999999999999999E-4</v>
      </c>
      <c r="N69" s="492">
        <v>-3.8999999999999999E-4</v>
      </c>
      <c r="O69" s="492">
        <v>-3.8999999999999999E-4</v>
      </c>
      <c r="P69" s="492">
        <v>-3.8999999999999999E-4</v>
      </c>
      <c r="Q69" s="492">
        <v>-3.8999999999999999E-4</v>
      </c>
      <c r="R69" s="492">
        <v>-3.8999999999999999E-4</v>
      </c>
      <c r="S69" s="496" t="s">
        <v>270</v>
      </c>
      <c r="T69" s="496" t="s">
        <v>270</v>
      </c>
      <c r="U69" s="492">
        <v>2.5000000000000001E-4</v>
      </c>
      <c r="V69" s="492">
        <v>2.5000000000000001E-4</v>
      </c>
      <c r="W69" s="492">
        <v>2.5000000000000001E-4</v>
      </c>
      <c r="X69" s="492">
        <v>2.5000000000000001E-4</v>
      </c>
      <c r="Y69" s="492">
        <v>2.5000000000000001E-4</v>
      </c>
      <c r="Z69" s="492">
        <v>2.5000000000000001E-4</v>
      </c>
      <c r="AA69" s="492">
        <v>2.5000000000000001E-4</v>
      </c>
      <c r="AB69" s="492">
        <v>2.5000000000000001E-4</v>
      </c>
      <c r="AC69" s="492">
        <v>2.5000000000000001E-4</v>
      </c>
      <c r="AD69" s="492">
        <v>2.5000000000000001E-4</v>
      </c>
      <c r="AE69" s="496" t="s">
        <v>270</v>
      </c>
      <c r="AF69" s="496" t="s">
        <v>270</v>
      </c>
    </row>
    <row r="70" spans="1:39" ht="16" thickBot="1">
      <c r="A70" s="483"/>
      <c r="B70" s="481" t="s">
        <v>42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270</v>
      </c>
      <c r="AF70" s="496" t="s">
        <v>270</v>
      </c>
    </row>
    <row r="71" spans="1:39" ht="16" thickBot="1">
      <c r="A71" s="483"/>
      <c r="B71" s="481" t="s">
        <v>43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270</v>
      </c>
      <c r="AF71" s="496" t="s">
        <v>270</v>
      </c>
      <c r="AH71" s="522">
        <f>AH4</f>
        <v>201503</v>
      </c>
      <c r="AI71" s="531"/>
      <c r="AJ71" s="523"/>
      <c r="AK71" s="523"/>
      <c r="AL71" s="523"/>
      <c r="AM71" s="524"/>
    </row>
    <row r="72" spans="1:39">
      <c r="A72" s="483"/>
      <c r="B72" s="481" t="s">
        <v>74</v>
      </c>
      <c r="E72" s="492">
        <v>-2.0000000000000001E-4</v>
      </c>
      <c r="F72" s="492">
        <v>-2.0000000000000001E-4</v>
      </c>
      <c r="G72" s="496" t="s">
        <v>270</v>
      </c>
      <c r="H72" s="496" t="s">
        <v>270</v>
      </c>
      <c r="I72" s="492">
        <v>-4.0000000000000003E-5</v>
      </c>
      <c r="J72" s="492">
        <v>-4.0000000000000003E-5</v>
      </c>
      <c r="K72" s="492">
        <v>-4.0000000000000003E-5</v>
      </c>
      <c r="L72" s="492">
        <v>-4.0000000000000003E-5</v>
      </c>
      <c r="M72" s="492">
        <v>-4.0000000000000003E-5</v>
      </c>
      <c r="N72" s="492">
        <v>-4.0000000000000003E-5</v>
      </c>
      <c r="O72" s="492">
        <v>-4.0000000000000003E-5</v>
      </c>
      <c r="P72" s="492">
        <v>-4.0000000000000003E-5</v>
      </c>
      <c r="Q72" s="492">
        <v>-4.0000000000000003E-5</v>
      </c>
      <c r="R72" s="492">
        <v>-4.0000000000000003E-5</v>
      </c>
      <c r="S72" s="496" t="s">
        <v>270</v>
      </c>
      <c r="T72" s="496" t="s">
        <v>270</v>
      </c>
      <c r="U72" s="492">
        <v>4.0000000000000003E-5</v>
      </c>
      <c r="V72" s="492">
        <v>4.0000000000000003E-5</v>
      </c>
      <c r="W72" s="492">
        <v>4.0000000000000003E-5</v>
      </c>
      <c r="X72" s="492">
        <v>4.0000000000000003E-5</v>
      </c>
      <c r="Y72" s="492">
        <v>4.0000000000000003E-5</v>
      </c>
      <c r="Z72" s="492">
        <v>4.0000000000000003E-5</v>
      </c>
      <c r="AA72" s="492">
        <v>4.0000000000000003E-5</v>
      </c>
      <c r="AB72" s="492">
        <v>4.0000000000000003E-5</v>
      </c>
      <c r="AC72" s="492">
        <v>4.0000000000000003E-5</v>
      </c>
      <c r="AD72" s="492">
        <v>4.0000000000000003E-5</v>
      </c>
      <c r="AE72" s="496" t="s">
        <v>270</v>
      </c>
      <c r="AF72" s="496" t="s">
        <v>270</v>
      </c>
      <c r="AH72" s="499" t="s">
        <v>302</v>
      </c>
      <c r="AI72" s="528">
        <v>191025</v>
      </c>
      <c r="AJ72" s="358" t="s">
        <v>288</v>
      </c>
      <c r="AK72" s="358" t="s">
        <v>289</v>
      </c>
      <c r="AL72" s="381">
        <f>IF((SUMIF(U74:AF74,AH71,U76:AF76))&gt;0,(SUMIF(U74:AF74,AH71,U76:AF76)),0)</f>
        <v>3855.1564400000007</v>
      </c>
      <c r="AM72" s="500">
        <f>IF((SUMIF(U74:AF74,AH71,U76:AF76))&lt;0,-(SUMIF(U74:AF74,AH71,U76:AF76)),0)</f>
        <v>0</v>
      </c>
    </row>
    <row r="73" spans="1:39">
      <c r="A73" s="483" t="s">
        <v>293</v>
      </c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92"/>
      <c r="Y73" s="492"/>
      <c r="Z73" s="492"/>
      <c r="AA73" s="492"/>
      <c r="AB73" s="492"/>
      <c r="AC73" s="492"/>
      <c r="AD73" s="492"/>
      <c r="AE73" s="492"/>
      <c r="AF73" s="492"/>
      <c r="AH73" s="499" t="s">
        <v>303</v>
      </c>
      <c r="AI73" s="528">
        <v>805110</v>
      </c>
      <c r="AJ73" s="358" t="s">
        <v>288</v>
      </c>
      <c r="AK73" s="358" t="s">
        <v>289</v>
      </c>
      <c r="AL73" s="381">
        <f>IF((SUMIF(U74:AF74,AH71,U76:AF76))&lt;0,-(SUMIF(U74:AF74,AH71,U76:AF76)),0)</f>
        <v>0</v>
      </c>
      <c r="AM73" s="500">
        <f>IF((SUMIF(U74:AF74,AH71,U76:AF76))&gt;0,(SUMIF(U74:AF74,AH71,U76:AF76)),0)</f>
        <v>3855.1564400000007</v>
      </c>
    </row>
    <row r="74" spans="1:39" s="483" customFormat="1">
      <c r="A74" s="484">
        <v>191025</v>
      </c>
      <c r="B74" s="485" t="s">
        <v>256</v>
      </c>
      <c r="C74" s="486" t="s">
        <v>251</v>
      </c>
      <c r="D74" s="487" t="s">
        <v>252</v>
      </c>
      <c r="E74" s="484">
        <v>201309</v>
      </c>
      <c r="F74" s="484">
        <f>E74+1</f>
        <v>201310</v>
      </c>
      <c r="G74" s="484">
        <f>F74+1</f>
        <v>201311</v>
      </c>
      <c r="H74" s="484">
        <f>G74+1</f>
        <v>201312</v>
      </c>
      <c r="I74" s="484">
        <v>201401</v>
      </c>
      <c r="J74" s="484">
        <v>201402</v>
      </c>
      <c r="K74" s="484">
        <v>201403</v>
      </c>
      <c r="L74" s="484">
        <v>201404</v>
      </c>
      <c r="M74" s="484">
        <v>201405</v>
      </c>
      <c r="N74" s="484">
        <v>201406</v>
      </c>
      <c r="O74" s="484">
        <v>201407</v>
      </c>
      <c r="P74" s="484">
        <v>201408</v>
      </c>
      <c r="Q74" s="484">
        <v>201409</v>
      </c>
      <c r="R74" s="484">
        <v>201410</v>
      </c>
      <c r="S74" s="484">
        <v>201411</v>
      </c>
      <c r="T74" s="484">
        <v>201412</v>
      </c>
      <c r="U74" s="484">
        <v>201501</v>
      </c>
      <c r="V74" s="484">
        <f t="shared" ref="V74:AD74" si="41">U74+1</f>
        <v>201502</v>
      </c>
      <c r="W74" s="484">
        <f t="shared" si="41"/>
        <v>201503</v>
      </c>
      <c r="X74" s="484">
        <f t="shared" si="41"/>
        <v>201504</v>
      </c>
      <c r="Y74" s="484">
        <f t="shared" si="41"/>
        <v>201505</v>
      </c>
      <c r="Z74" s="484">
        <f t="shared" si="41"/>
        <v>201506</v>
      </c>
      <c r="AA74" s="484">
        <f t="shared" si="41"/>
        <v>201507</v>
      </c>
      <c r="AB74" s="484">
        <f t="shared" si="41"/>
        <v>201508</v>
      </c>
      <c r="AC74" s="484">
        <f t="shared" si="41"/>
        <v>201509</v>
      </c>
      <c r="AD74" s="484">
        <f t="shared" si="41"/>
        <v>201510</v>
      </c>
      <c r="AE74" s="484">
        <f>AD74+1</f>
        <v>201511</v>
      </c>
      <c r="AF74" s="484">
        <f t="shared" ref="AF74" si="42">AE74+1</f>
        <v>201512</v>
      </c>
      <c r="AH74" s="499" t="s">
        <v>273</v>
      </c>
      <c r="AI74" s="528"/>
      <c r="AJ74" s="358"/>
      <c r="AK74" s="358"/>
      <c r="AL74" s="381">
        <v>0</v>
      </c>
      <c r="AM74" s="500">
        <v>0</v>
      </c>
    </row>
    <row r="75" spans="1:39" ht="16" thickBot="1">
      <c r="A75" s="493"/>
      <c r="B75" s="481" t="s">
        <v>253</v>
      </c>
      <c r="E75" s="482">
        <v>49539.047030000002</v>
      </c>
      <c r="F75" s="482">
        <f>E78</f>
        <v>38932.729789999998</v>
      </c>
      <c r="G75" s="482">
        <f>F78</f>
        <v>8140.2385399999985</v>
      </c>
      <c r="H75" s="482">
        <f>G78</f>
        <v>-693.68146000000161</v>
      </c>
      <c r="I75" s="482">
        <v>-13695.721460000002</v>
      </c>
      <c r="J75" s="482">
        <v>-24946.501630000002</v>
      </c>
      <c r="K75" s="482">
        <v>-35935.697740000003</v>
      </c>
      <c r="L75" s="482">
        <v>-43868.737290000005</v>
      </c>
      <c r="M75" s="482">
        <v>-48533.952360000003</v>
      </c>
      <c r="N75" s="482">
        <v>-51097.105150000003</v>
      </c>
      <c r="O75" s="482">
        <v>-53019.406010000006</v>
      </c>
      <c r="P75" s="482">
        <v>-54619.79959000001</v>
      </c>
      <c r="Q75" s="482">
        <v>-56173.40615000001</v>
      </c>
      <c r="R75" s="482">
        <v>-58149.353890000013</v>
      </c>
      <c r="S75" s="482">
        <v>-61477.482430000011</v>
      </c>
      <c r="T75" s="482">
        <v>-56200.445640000013</v>
      </c>
      <c r="U75" s="482">
        <f>T78</f>
        <v>-49897.475640000011</v>
      </c>
      <c r="V75" s="482">
        <f>U78</f>
        <v>-43064.021250000013</v>
      </c>
      <c r="W75" s="482">
        <f t="shared" ref="W75:AD75" si="43">V78</f>
        <v>-38138.117780000015</v>
      </c>
      <c r="X75" s="482">
        <f t="shared" si="43"/>
        <v>-34282.961340000016</v>
      </c>
      <c r="Y75" s="482">
        <f t="shared" si="43"/>
        <v>-31253.873050000017</v>
      </c>
      <c r="Z75" s="482">
        <f t="shared" si="43"/>
        <v>-29770.929110000015</v>
      </c>
      <c r="AA75" s="482">
        <f t="shared" si="43"/>
        <v>-28708.282540000015</v>
      </c>
      <c r="AB75" s="482">
        <f t="shared" si="43"/>
        <v>-27692.487530000013</v>
      </c>
      <c r="AC75" s="482">
        <f t="shared" si="43"/>
        <v>-26711.886850000014</v>
      </c>
      <c r="AD75" s="482">
        <f t="shared" si="43"/>
        <v>-25249.174790000012</v>
      </c>
      <c r="AE75" s="482">
        <f>AD78</f>
        <v>-23172.041910000011</v>
      </c>
      <c r="AF75" s="482">
        <f>AE78</f>
        <v>-23172.041910000011</v>
      </c>
      <c r="AH75" s="501" t="s">
        <v>273</v>
      </c>
      <c r="AI75" s="529"/>
      <c r="AJ75" s="502"/>
      <c r="AK75" s="502"/>
      <c r="AL75" s="503">
        <v>0</v>
      </c>
      <c r="AM75" s="521">
        <v>0</v>
      </c>
    </row>
    <row r="76" spans="1:39" ht="16" thickBot="1">
      <c r="B76" s="481" t="s">
        <v>23</v>
      </c>
      <c r="C76" s="482">
        <f>SUM(U76:AF76)</f>
        <v>26725.433730000008</v>
      </c>
      <c r="D76" s="494">
        <f>SUM(G76:R76)</f>
        <v>-69617.720970000009</v>
      </c>
      <c r="E76" s="482">
        <f>SUMPRODUCT(E53:E60,E65:E72)</f>
        <v>-10606.31724</v>
      </c>
      <c r="F76" s="482">
        <f>SUMPRODUCT(F53:F60,F65:F72)</f>
        <v>-30792.491249999999</v>
      </c>
      <c r="G76" s="482">
        <v>-8833.92</v>
      </c>
      <c r="H76" s="482">
        <v>-13002.04</v>
      </c>
      <c r="I76" s="482">
        <v>-11250.78017</v>
      </c>
      <c r="J76" s="482">
        <v>-10989.196110000001</v>
      </c>
      <c r="K76" s="482">
        <v>-7933.0395500000013</v>
      </c>
      <c r="L76" s="482">
        <v>-4665.2150699999993</v>
      </c>
      <c r="M76" s="482">
        <v>-2563.1527899999996</v>
      </c>
      <c r="N76" s="482">
        <v>-1922.3008600000003</v>
      </c>
      <c r="O76" s="482">
        <v>-1600.3935799999999</v>
      </c>
      <c r="P76" s="482">
        <v>-1553.6065599999997</v>
      </c>
      <c r="Q76" s="482">
        <v>-1975.9477400000001</v>
      </c>
      <c r="R76" s="482">
        <v>-3328.1285399999992</v>
      </c>
      <c r="S76" s="557">
        <v>5277.0367900000001</v>
      </c>
      <c r="T76" s="557">
        <v>6302.97</v>
      </c>
      <c r="U76" s="482">
        <f>SUMPRODUCT(U53:U60,U65:U72)</f>
        <v>6833.4543899999999</v>
      </c>
      <c r="V76" s="482">
        <f t="shared" ref="V76:AD76" si="44">SUMPRODUCT(V53:V60,V65:V72)</f>
        <v>4925.9034700000011</v>
      </c>
      <c r="W76" s="482">
        <f t="shared" si="44"/>
        <v>3855.1564400000007</v>
      </c>
      <c r="X76" s="482">
        <f t="shared" si="44"/>
        <v>3029.0882899999997</v>
      </c>
      <c r="Y76" s="482">
        <f t="shared" si="44"/>
        <v>1482.9439400000001</v>
      </c>
      <c r="Z76" s="482">
        <f t="shared" si="44"/>
        <v>1062.6465700000001</v>
      </c>
      <c r="AA76" s="482">
        <f t="shared" si="44"/>
        <v>1015.7950099999999</v>
      </c>
      <c r="AB76" s="482">
        <f t="shared" si="44"/>
        <v>980.60068000000001</v>
      </c>
      <c r="AC76" s="482">
        <f t="shared" si="44"/>
        <v>1462.7120600000003</v>
      </c>
      <c r="AD76" s="482">
        <f t="shared" si="44"/>
        <v>2077.1328800000001</v>
      </c>
      <c r="AE76" s="563"/>
      <c r="AF76" s="563"/>
      <c r="AH76" s="516"/>
      <c r="AI76" s="530"/>
      <c r="AJ76" s="517"/>
      <c r="AK76" s="517"/>
      <c r="AL76" s="517" t="s">
        <v>159</v>
      </c>
      <c r="AM76" s="518">
        <f>SUM(AL72:AL75)-SUM(AM72:AM75)</f>
        <v>0</v>
      </c>
    </row>
    <row r="77" spans="1:39">
      <c r="B77" s="481" t="s">
        <v>148</v>
      </c>
      <c r="C77" s="482">
        <f>SUM(I77:T77)</f>
        <v>0</v>
      </c>
      <c r="E77" s="482">
        <v>0</v>
      </c>
      <c r="F77" s="482">
        <v>0</v>
      </c>
      <c r="G77" s="482">
        <v>0</v>
      </c>
      <c r="H77" s="482">
        <v>0</v>
      </c>
      <c r="I77" s="482">
        <v>0</v>
      </c>
      <c r="J77" s="482">
        <v>0</v>
      </c>
      <c r="K77" s="482">
        <v>0</v>
      </c>
      <c r="L77" s="482">
        <v>0</v>
      </c>
      <c r="M77" s="482">
        <v>0</v>
      </c>
      <c r="N77" s="482">
        <v>0</v>
      </c>
      <c r="O77" s="482">
        <v>0</v>
      </c>
      <c r="P77" s="482">
        <v>0</v>
      </c>
      <c r="Q77" s="482">
        <v>0</v>
      </c>
      <c r="R77" s="482">
        <v>0</v>
      </c>
      <c r="S77" s="482">
        <v>0</v>
      </c>
      <c r="T77" s="482">
        <v>0</v>
      </c>
      <c r="U77" s="482">
        <v>0</v>
      </c>
      <c r="V77" s="482">
        <v>0</v>
      </c>
      <c r="W77" s="482">
        <v>0</v>
      </c>
      <c r="X77" s="482">
        <v>0</v>
      </c>
      <c r="Y77" s="482">
        <v>0</v>
      </c>
      <c r="Z77" s="482">
        <v>0</v>
      </c>
      <c r="AA77" s="482">
        <v>0</v>
      </c>
      <c r="AB77" s="482">
        <v>0</v>
      </c>
      <c r="AC77" s="482">
        <v>0</v>
      </c>
      <c r="AD77" s="482">
        <v>0</v>
      </c>
      <c r="AE77" s="482">
        <v>0</v>
      </c>
      <c r="AF77" s="482">
        <v>0</v>
      </c>
    </row>
    <row r="78" spans="1:39" ht="16" thickBot="1">
      <c r="B78" s="481" t="s">
        <v>56</v>
      </c>
      <c r="C78" s="541">
        <f>SUM(C76:C77)</f>
        <v>26725.433730000008</v>
      </c>
      <c r="D78" s="541"/>
      <c r="E78" s="541">
        <f t="shared" ref="E78:H78" si="45">SUM(E75:E77)</f>
        <v>38932.729789999998</v>
      </c>
      <c r="F78" s="541">
        <f t="shared" si="45"/>
        <v>8140.2385399999985</v>
      </c>
      <c r="G78" s="541">
        <f t="shared" si="45"/>
        <v>-693.68146000000161</v>
      </c>
      <c r="H78" s="541">
        <f t="shared" si="45"/>
        <v>-13695.721460000002</v>
      </c>
      <c r="I78" s="541">
        <v>-24946.501630000002</v>
      </c>
      <c r="J78" s="541">
        <v>-35935.697740000003</v>
      </c>
      <c r="K78" s="541">
        <v>-43868.737290000005</v>
      </c>
      <c r="L78" s="541">
        <v>-48533.952360000003</v>
      </c>
      <c r="M78" s="541">
        <v>-51097.105150000003</v>
      </c>
      <c r="N78" s="541">
        <v>-53019.406010000006</v>
      </c>
      <c r="O78" s="541">
        <v>-54619.79959000001</v>
      </c>
      <c r="P78" s="541">
        <v>-56173.40615000001</v>
      </c>
      <c r="Q78" s="541">
        <v>-58149.353890000013</v>
      </c>
      <c r="R78" s="541">
        <v>-61477.482430000011</v>
      </c>
      <c r="S78" s="541">
        <v>-56200.445640000013</v>
      </c>
      <c r="T78" s="541">
        <v>-49897.475640000011</v>
      </c>
      <c r="U78" s="541">
        <f>SUM(U75:U77)</f>
        <v>-43064.021250000013</v>
      </c>
      <c r="V78" s="541">
        <f t="shared" ref="V78:AF78" si="46">SUM(V75:V77)</f>
        <v>-38138.117780000015</v>
      </c>
      <c r="W78" s="541">
        <f t="shared" si="46"/>
        <v>-34282.961340000016</v>
      </c>
      <c r="X78" s="541">
        <f t="shared" si="46"/>
        <v>-31253.873050000017</v>
      </c>
      <c r="Y78" s="541">
        <f t="shared" si="46"/>
        <v>-29770.929110000015</v>
      </c>
      <c r="Z78" s="541">
        <f t="shared" si="46"/>
        <v>-28708.282540000015</v>
      </c>
      <c r="AA78" s="541">
        <f t="shared" si="46"/>
        <v>-27692.487530000013</v>
      </c>
      <c r="AB78" s="541">
        <f t="shared" si="46"/>
        <v>-26711.886850000014</v>
      </c>
      <c r="AC78" s="541">
        <f t="shared" si="46"/>
        <v>-25249.174790000012</v>
      </c>
      <c r="AD78" s="541">
        <f t="shared" si="46"/>
        <v>-23172.041910000011</v>
      </c>
      <c r="AE78" s="541">
        <f t="shared" si="46"/>
        <v>-23172.041910000011</v>
      </c>
      <c r="AF78" s="541">
        <f t="shared" si="46"/>
        <v>-23172.041910000011</v>
      </c>
    </row>
    <row r="79" spans="1:39" ht="16" thickTop="1">
      <c r="B79" s="481" t="s">
        <v>260</v>
      </c>
      <c r="E79" s="482" t="e">
        <f ca="1">_xll.Get_Balance(E74,"YTD","USD","Total","A","","001",$A$74,"GD","WA","DL")</f>
        <v>#NAME?</v>
      </c>
      <c r="F79" s="482" t="e">
        <f ca="1">_xll.Get_Balance(F74,"YTD","USD","Total","A","","001",$A$74,"GD","WA","DL")</f>
        <v>#NAME?</v>
      </c>
      <c r="G79" s="482" t="e">
        <f ca="1">_xll.Get_Balance(G74,"YTD","USD","Total","A","","001",$A$74,"GD","WA","DL")</f>
        <v>#NAME?</v>
      </c>
      <c r="H79" s="482" t="e">
        <f ca="1">_xll.Get_Balance(H74,"YTD","USD","Total","A","","001",$A$74,"GD","WA","DL")</f>
        <v>#NAME?</v>
      </c>
      <c r="I79" s="482">
        <v>-24946.5</v>
      </c>
      <c r="J79" s="482">
        <v>-35935.699999999997</v>
      </c>
      <c r="K79" s="482">
        <v>-43868.74</v>
      </c>
      <c r="L79" s="482">
        <v>-48533.96</v>
      </c>
      <c r="M79" s="482">
        <v>-51097.11</v>
      </c>
      <c r="N79" s="482">
        <v>-53019.41</v>
      </c>
      <c r="O79" s="482">
        <v>-54619.8</v>
      </c>
      <c r="P79" s="482">
        <v>-56173.41</v>
      </c>
      <c r="Q79" s="482">
        <v>-58149.36</v>
      </c>
      <c r="R79" s="482">
        <v>-61477.49</v>
      </c>
      <c r="S79" s="482">
        <v>-56200.45</v>
      </c>
      <c r="T79" s="482">
        <v>-49897.48</v>
      </c>
      <c r="U79" s="482" t="e">
        <f ca="1">_xll.Get_Balance(U74,"YTD","USD","Total","A","","001",$A$74,"GD","WA","DL")</f>
        <v>#NAME?</v>
      </c>
      <c r="V79" s="482" t="e">
        <f ca="1">_xll.Get_Balance(V74,"YTD","USD","Total","A","","001",$A$74,"GD","WA","DL")</f>
        <v>#NAME?</v>
      </c>
      <c r="W79" s="482" t="e">
        <f ca="1">_xll.Get_Balance(W74,"YTD","USD","Total","A","","001",$A$74,"GD","WA","DL")</f>
        <v>#NAME?</v>
      </c>
      <c r="X79" s="482" t="e">
        <f ca="1">_xll.Get_Balance(X74,"YTD","USD","Total","A","","001",$A$74,"GD","WA","DL")</f>
        <v>#NAME?</v>
      </c>
      <c r="Y79" s="482" t="e">
        <f ca="1">_xll.Get_Balance(Y74,"YTD","USD","Total","A","","001",$A$74,"GD","WA","DL")</f>
        <v>#NAME?</v>
      </c>
      <c r="Z79" s="482" t="e">
        <f ca="1">_xll.Get_Balance(Z74,"YTD","USD","Total","A","","001",$A$74,"GD","WA","DL")</f>
        <v>#NAME?</v>
      </c>
      <c r="AA79" s="482" t="e">
        <f ca="1">_xll.Get_Balance(AA74,"YTD","USD","Total","A","","001",$A$74,"GD","WA","DL")</f>
        <v>#NAME?</v>
      </c>
      <c r="AB79" s="482" t="e">
        <f ca="1">_xll.Get_Balance(AB74,"YTD","USD","Total","A","","001",$A$74,"GD","WA","DL")</f>
        <v>#NAME?</v>
      </c>
      <c r="AC79" s="482" t="e">
        <f ca="1">_xll.Get_Balance(AC74,"YTD","USD","Total","A","","001",$A$74,"GD","WA","DL")</f>
        <v>#NAME?</v>
      </c>
      <c r="AD79" s="482" t="e">
        <f ca="1">_xll.Get_Balance(AD74,"YTD","USD","Total","A","","001",$A$74,"GD","WA","DL")</f>
        <v>#NAME?</v>
      </c>
      <c r="AE79" s="482" t="e">
        <f ca="1">_xll.Get_Balance(AE74,"YTD","USD","Total","A","","001",$A$74,"GD","WA","DL")</f>
        <v>#NAME?</v>
      </c>
      <c r="AF79" s="482" t="e">
        <f ca="1">_xll.Get_Balance(AF74,"YTD","USD","Total","A","","001",$A$74,"GD","WA","DL")</f>
        <v>#NAME?</v>
      </c>
    </row>
    <row r="80" spans="1:39">
      <c r="B80" s="481" t="s">
        <v>245</v>
      </c>
      <c r="E80" s="482" t="e">
        <f t="shared" ref="E80:H80" ca="1" si="47">E78-E79</f>
        <v>#NAME?</v>
      </c>
      <c r="F80" s="482" t="e">
        <f t="shared" ca="1" si="47"/>
        <v>#NAME?</v>
      </c>
      <c r="G80" s="482" t="e">
        <f t="shared" ca="1" si="47"/>
        <v>#NAME?</v>
      </c>
      <c r="H80" s="482" t="e">
        <f t="shared" ca="1" si="47"/>
        <v>#NAME?</v>
      </c>
      <c r="I80" s="482">
        <v>-1.6300000024784822E-3</v>
      </c>
      <c r="J80" s="482">
        <v>2.2599999938393012E-3</v>
      </c>
      <c r="K80" s="482">
        <v>2.7099999933852814E-3</v>
      </c>
      <c r="L80" s="482">
        <v>7.6399999961722642E-3</v>
      </c>
      <c r="M80" s="482">
        <v>4.8499999975319952E-3</v>
      </c>
      <c r="N80" s="482">
        <v>3.9899999974295497E-3</v>
      </c>
      <c r="O80" s="482">
        <v>4.0999999328050762E-4</v>
      </c>
      <c r="P80" s="482">
        <v>3.8499999936902896E-3</v>
      </c>
      <c r="Q80" s="482">
        <v>6.1099999875295907E-3</v>
      </c>
      <c r="R80" s="482">
        <v>7.5699999870266765E-3</v>
      </c>
      <c r="S80" s="482">
        <v>4.3599999844445847E-3</v>
      </c>
      <c r="T80" s="482">
        <v>4.3599999917205423E-3</v>
      </c>
      <c r="U80" s="482" t="e">
        <f t="shared" ref="U80:AF80" ca="1" si="48">U78-U79</f>
        <v>#NAME?</v>
      </c>
      <c r="V80" s="482" t="e">
        <f t="shared" ca="1" si="48"/>
        <v>#NAME?</v>
      </c>
      <c r="W80" s="482" t="e">
        <f t="shared" ca="1" si="48"/>
        <v>#NAME?</v>
      </c>
      <c r="X80" s="482" t="e">
        <f t="shared" ca="1" si="48"/>
        <v>#NAME?</v>
      </c>
      <c r="Y80" s="482" t="e">
        <f t="shared" ca="1" si="48"/>
        <v>#NAME?</v>
      </c>
      <c r="Z80" s="482" t="e">
        <f t="shared" ca="1" si="48"/>
        <v>#NAME?</v>
      </c>
      <c r="AA80" s="482" t="e">
        <f t="shared" ca="1" si="48"/>
        <v>#NAME?</v>
      </c>
      <c r="AB80" s="482" t="e">
        <f t="shared" ca="1" si="48"/>
        <v>#NAME?</v>
      </c>
      <c r="AC80" s="482" t="e">
        <f t="shared" ca="1" si="48"/>
        <v>#NAME?</v>
      </c>
      <c r="AD80" s="482" t="e">
        <f t="shared" ca="1" si="48"/>
        <v>#NAME?</v>
      </c>
      <c r="AE80" s="482" t="e">
        <f t="shared" ca="1" si="48"/>
        <v>#NAME?</v>
      </c>
      <c r="AF80" s="482" t="e">
        <f t="shared" ca="1" si="48"/>
        <v>#NAME?</v>
      </c>
    </row>
  </sheetData>
  <conditionalFormatting sqref="E28 K28:AG28 L62:AG62">
    <cfRule type="cellIs" dxfId="221" priority="23" operator="notEqual">
      <formula>E27</formula>
    </cfRule>
  </conditionalFormatting>
  <conditionalFormatting sqref="F28">
    <cfRule type="cellIs" dxfId="220" priority="22" operator="notEqual">
      <formula>F27</formula>
    </cfRule>
  </conditionalFormatting>
  <conditionalFormatting sqref="G28">
    <cfRule type="cellIs" dxfId="219" priority="21" operator="notEqual">
      <formula>G27</formula>
    </cfRule>
  </conditionalFormatting>
  <conditionalFormatting sqref="H28">
    <cfRule type="cellIs" dxfId="218" priority="20" operator="notEqual">
      <formula>H27</formula>
    </cfRule>
  </conditionalFormatting>
  <conditionalFormatting sqref="G62">
    <cfRule type="cellIs" dxfId="217" priority="19" operator="notEqual">
      <formula>G61</formula>
    </cfRule>
  </conditionalFormatting>
  <conditionalFormatting sqref="H62">
    <cfRule type="cellIs" dxfId="216" priority="18" operator="notEqual">
      <formula>H61</formula>
    </cfRule>
  </conditionalFormatting>
  <conditionalFormatting sqref="E62">
    <cfRule type="cellIs" dxfId="215" priority="17" operator="notEqual">
      <formula>E61</formula>
    </cfRule>
  </conditionalFormatting>
  <conditionalFormatting sqref="F62">
    <cfRule type="cellIs" dxfId="214" priority="16" operator="notEqual">
      <formula>F61</formula>
    </cfRule>
  </conditionalFormatting>
  <conditionalFormatting sqref="AM76 AM45 AM11">
    <cfRule type="cellIs" dxfId="213" priority="15" operator="notEqual">
      <formula>0</formula>
    </cfRule>
  </conditionalFormatting>
  <conditionalFormatting sqref="D62">
    <cfRule type="cellIs" dxfId="212" priority="14" operator="notEqual">
      <formula>D61</formula>
    </cfRule>
  </conditionalFormatting>
  <conditionalFormatting sqref="C62">
    <cfRule type="cellIs" dxfId="211" priority="13" operator="notEqual">
      <formula>C61</formula>
    </cfRule>
  </conditionalFormatting>
  <conditionalFormatting sqref="D28">
    <cfRule type="cellIs" dxfId="210" priority="12" operator="notEqual">
      <formula>D27</formula>
    </cfRule>
  </conditionalFormatting>
  <conditionalFormatting sqref="C28">
    <cfRule type="cellIs" dxfId="209" priority="11" operator="notEqual">
      <formula>C27</formula>
    </cfRule>
  </conditionalFormatting>
  <conditionalFormatting sqref="I28">
    <cfRule type="cellIs" dxfId="208" priority="10" operator="notEqual">
      <formula>I27</formula>
    </cfRule>
  </conditionalFormatting>
  <conditionalFormatting sqref="I62">
    <cfRule type="cellIs" dxfId="207" priority="9" operator="notEqual">
      <formula>I61</formula>
    </cfRule>
  </conditionalFormatting>
  <conditionalFormatting sqref="J28">
    <cfRule type="cellIs" dxfId="206" priority="8" operator="notEqual">
      <formula>J27</formula>
    </cfRule>
  </conditionalFormatting>
  <conditionalFormatting sqref="J62">
    <cfRule type="cellIs" dxfId="205" priority="7" operator="notEqual">
      <formula>J61</formula>
    </cfRule>
  </conditionalFormatting>
  <conditionalFormatting sqref="K62">
    <cfRule type="cellIs" dxfId="204" priority="6" operator="notEqual">
      <formula>K61</formula>
    </cfRule>
  </conditionalFormatting>
  <conditionalFormatting sqref="U28">
    <cfRule type="cellIs" dxfId="203" priority="5" operator="notEqual">
      <formula>U27</formula>
    </cfRule>
  </conditionalFormatting>
  <conditionalFormatting sqref="U62">
    <cfRule type="cellIs" dxfId="202" priority="4" operator="notEqual">
      <formula>U61</formula>
    </cfRule>
  </conditionalFormatting>
  <conditionalFormatting sqref="V28">
    <cfRule type="cellIs" dxfId="201" priority="3" operator="notEqual">
      <formula>V27</formula>
    </cfRule>
  </conditionalFormatting>
  <conditionalFormatting sqref="V62">
    <cfRule type="cellIs" dxfId="200" priority="2" operator="notEqual">
      <formula>V61</formula>
    </cfRule>
  </conditionalFormatting>
  <conditionalFormatting sqref="W62">
    <cfRule type="cellIs" dxfId="199" priority="1" operator="notEqual">
      <formula>W61</formula>
    </cfRule>
  </conditionalFormatting>
  <pageMargins left="0" right="0" top="0.75" bottom="0.75" header="0.3" footer="0.3"/>
  <pageSetup scale="43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>
    <tabColor theme="8" tint="0.79998168889431442"/>
    <pageSetUpPr fitToPage="1"/>
  </sheetPr>
  <dimension ref="A1:AM92"/>
  <sheetViews>
    <sheetView topLeftCell="A10" zoomScale="89" zoomScaleNormal="89" zoomScaleSheetLayoutView="85" workbookViewId="0">
      <selection activeCell="T46" sqref="S46:T46"/>
    </sheetView>
  </sheetViews>
  <sheetFormatPr defaultColWidth="9.09765625" defaultRowHeight="15.5"/>
  <cols>
    <col min="1" max="1" width="16.69921875" style="482" customWidth="1"/>
    <col min="2" max="2" width="25.296875" style="481" bestFit="1" customWidth="1"/>
    <col min="3" max="3" width="16.296875" style="482" bestFit="1" customWidth="1"/>
    <col min="4" max="4" width="16.09765625" style="482" customWidth="1"/>
    <col min="5" max="6" width="16.3984375" style="482" hidden="1" customWidth="1"/>
    <col min="7" max="7" width="16.296875" style="482" hidden="1" customWidth="1"/>
    <col min="8" max="9" width="18.3984375" style="482" hidden="1" customWidth="1"/>
    <col min="10" max="12" width="16.296875" style="482" hidden="1" customWidth="1"/>
    <col min="13" max="13" width="16.8984375" style="482" hidden="1" customWidth="1"/>
    <col min="14" max="17" width="16.296875" style="482" hidden="1" customWidth="1"/>
    <col min="18" max="20" width="16.296875" style="482" customWidth="1"/>
    <col min="21" max="21" width="18.3984375" style="482" customWidth="1"/>
    <col min="22" max="24" width="16.296875" style="482" customWidth="1"/>
    <col min="25" max="25" width="16.8984375" style="482" hidden="1" customWidth="1"/>
    <col min="26" max="32" width="16.296875" style="482" hidden="1" customWidth="1"/>
    <col min="33" max="33" width="1.59765625" style="482" customWidth="1"/>
    <col min="34" max="34" width="36.296875" style="482" bestFit="1" customWidth="1"/>
    <col min="35" max="35" width="15.59765625" style="525" bestFit="1" customWidth="1"/>
    <col min="36" max="36" width="4.69921875" style="482" bestFit="1" customWidth="1"/>
    <col min="37" max="37" width="3.3984375" style="482" bestFit="1" customWidth="1"/>
    <col min="38" max="39" width="17.09765625" style="482" bestFit="1" customWidth="1"/>
    <col min="40" max="40" width="0.59765625" style="482" customWidth="1"/>
    <col min="41" max="16384" width="9.09765625" style="482"/>
  </cols>
  <sheetData>
    <row r="1" spans="1:39">
      <c r="A1" s="480" t="s">
        <v>265</v>
      </c>
      <c r="AH1" s="480" t="s">
        <v>315</v>
      </c>
    </row>
    <row r="2" spans="1:39">
      <c r="A2" s="483" t="s">
        <v>267</v>
      </c>
    </row>
    <row r="3" spans="1:39" s="483" customFormat="1" ht="31.5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I3" s="484"/>
    </row>
    <row r="4" spans="1:39" s="483" customFormat="1" ht="16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H4" s="544">
        <v>201503</v>
      </c>
      <c r="AI4" s="526"/>
      <c r="AJ4" s="514"/>
      <c r="AK4" s="514"/>
      <c r="AL4" s="514"/>
      <c r="AM4" s="515"/>
    </row>
    <row r="5" spans="1:39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v>312448.94088100048</v>
      </c>
      <c r="U5" s="482">
        <f>T13</f>
        <v>-411904.75797999633</v>
      </c>
      <c r="V5" s="482">
        <f>U13</f>
        <v>-645308.87581999751</v>
      </c>
      <c r="W5" s="482">
        <f t="shared" ref="W5:AF5" si="1">V13</f>
        <v>-851195.3305709972</v>
      </c>
      <c r="X5" s="482">
        <f t="shared" si="1"/>
        <v>-383974.27833599568</v>
      </c>
      <c r="Y5" s="482">
        <f t="shared" si="1"/>
        <v>-1321034.9598439964</v>
      </c>
      <c r="Z5" s="482">
        <f t="shared" si="1"/>
        <v>-1487056.0593459962</v>
      </c>
      <c r="AA5" s="482">
        <f t="shared" si="1"/>
        <v>-1775567.0958759973</v>
      </c>
      <c r="AB5" s="482">
        <f t="shared" si="1"/>
        <v>-2119408.0288879965</v>
      </c>
      <c r="AC5" s="482">
        <f t="shared" si="1"/>
        <v>-2515949.9171379954</v>
      </c>
      <c r="AD5" s="482">
        <f t="shared" si="1"/>
        <v>-3164199.8001459967</v>
      </c>
      <c r="AE5" s="482">
        <f t="shared" si="1"/>
        <v>-3819632.5755009972</v>
      </c>
      <c r="AF5" s="482">
        <f t="shared" si="1"/>
        <v>-4461715.3793109972</v>
      </c>
      <c r="AH5" s="497" t="s">
        <v>304</v>
      </c>
      <c r="AI5" s="527">
        <v>419600</v>
      </c>
      <c r="AJ5" s="498" t="s">
        <v>288</v>
      </c>
      <c r="AK5" s="498" t="s">
        <v>291</v>
      </c>
      <c r="AL5" s="519">
        <v>0</v>
      </c>
      <c r="AM5" s="520">
        <f>IF(SUMIF(U3:AF3,AH4,U8:AF8)&gt;0,SUMIF(U3:AF3,AH4,U8:AF8),0)</f>
        <v>0</v>
      </c>
    </row>
    <row r="6" spans="1:39">
      <c r="B6" s="481" t="s">
        <v>254</v>
      </c>
      <c r="C6" s="482">
        <f>SUM(U6:AF6)</f>
        <v>-5056717.7079139985</v>
      </c>
      <c r="D6" s="482">
        <f>-1369125.49+SUM(E6:N6,E9:T9)</f>
        <v>-2.14532227255404E-3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f>Jan!$J$53</f>
        <v>331968.15844599903</v>
      </c>
      <c r="V6" s="482">
        <f>Feb!$J$53</f>
        <v>0</v>
      </c>
      <c r="W6" s="482">
        <f>Mar!$J$53</f>
        <v>547802.71264300169</v>
      </c>
      <c r="X6" s="482">
        <f>Apr!$J$53</f>
        <v>-1029654.8148680007</v>
      </c>
      <c r="Y6" s="482">
        <f>May!$J$53</f>
        <v>-494908.28808599967</v>
      </c>
      <c r="Z6" s="482">
        <f>Jun!$J$53</f>
        <v>-803843.28933000052</v>
      </c>
      <c r="AA6" s="482">
        <f>Jul!$J$53</f>
        <v>-778841.02357199905</v>
      </c>
      <c r="AB6" s="482">
        <f>Aug!$J$53</f>
        <v>-816009.11660199915</v>
      </c>
      <c r="AC6" s="482">
        <f>Sep!$J$53</f>
        <v>-995450.54456800083</v>
      </c>
      <c r="AD6" s="482">
        <f>Oct!$J$55</f>
        <v>-911936.74747700011</v>
      </c>
      <c r="AE6" s="482">
        <f>Nov!$J$55</f>
        <v>-105844.75449999981</v>
      </c>
      <c r="AF6" s="482">
        <f>Dec!$J$53</f>
        <v>0</v>
      </c>
      <c r="AH6" s="499" t="s">
        <v>305</v>
      </c>
      <c r="AI6" s="528">
        <v>431600</v>
      </c>
      <c r="AJ6" s="358" t="s">
        <v>288</v>
      </c>
      <c r="AK6" s="358" t="s">
        <v>291</v>
      </c>
      <c r="AL6" s="381">
        <f>IF(SUMIF(U3:AF3,AH4,U8:AF8)&lt;0,-SUMIF(U3:AF3,AH4,U8:AF8),0)</f>
        <v>514.44000000000005</v>
      </c>
      <c r="AM6" s="500">
        <v>0</v>
      </c>
    </row>
    <row r="7" spans="1:39">
      <c r="B7" s="481" t="s">
        <v>255</v>
      </c>
      <c r="C7" s="482">
        <f t="shared" ref="C7:C11" si="2">SUM(U7:AF7)</f>
        <v>954206.43658299907</v>
      </c>
      <c r="D7" s="482">
        <f>1867859.17+SUM(E7:N7,E10:T10)</f>
        <v>-1.7596203833818436E-3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f>Jan!$K$53</f>
        <v>-634725.57628600008</v>
      </c>
      <c r="V7" s="482">
        <f>Feb!$K$53</f>
        <v>-205263.17475099966</v>
      </c>
      <c r="W7" s="482">
        <f>Mar!$K$53</f>
        <v>-80067.220408000168</v>
      </c>
      <c r="X7" s="482">
        <f>Apr!$K$53</f>
        <v>93304.253359999973</v>
      </c>
      <c r="Y7" s="482">
        <f>May!$K$53</f>
        <v>330056.73858399986</v>
      </c>
      <c r="Z7" s="482">
        <f>Jun!$K$53</f>
        <v>516691.11279999983</v>
      </c>
      <c r="AA7" s="482">
        <f>Jul!$K$53</f>
        <v>436622.32056000002</v>
      </c>
      <c r="AB7" s="482">
        <f>Aug!$K$53</f>
        <v>421397.81835199991</v>
      </c>
      <c r="AC7" s="482">
        <f>Sep!$K$53</f>
        <v>349566.40155999974</v>
      </c>
      <c r="AD7" s="482">
        <f>Oct!$K$55</f>
        <v>259412.69212199986</v>
      </c>
      <c r="AE7" s="563">
        <f>Nov!$K$55</f>
        <v>-532788.92931000004</v>
      </c>
      <c r="AF7" s="482">
        <f>Dec!$K$53</f>
        <v>0</v>
      </c>
      <c r="AH7" s="499" t="s">
        <v>306</v>
      </c>
      <c r="AI7" s="528">
        <v>191010</v>
      </c>
      <c r="AJ7" s="358" t="s">
        <v>288</v>
      </c>
      <c r="AK7" s="358" t="s">
        <v>291</v>
      </c>
      <c r="AL7" s="381">
        <f>IF((SUMIF(U3:AF3,AH4,U6:AF6)+SUMIF(U3:AF3,AH4,U7:AF7)+SUMIF(U3:AF3,AH4,U8:AF8))&gt;0,(SUMIF(U3:AF3,AH4,U6:AF6)+SUMIF(U3:AF3,AH4,U7:AF7)+SUMIF(U3:AF3,AH4,U8:AF8)),0)</f>
        <v>467221.05223500152</v>
      </c>
      <c r="AM7" s="500">
        <f>IF((SUMIF(U3:AF3,AH4,U6:AF6)+SUMIF(U3:AF3,AH4,U7:AF7)+SUMIF(U3:AF3,AH4,U8:AF8))&lt;0,-(SUMIF(U3:AF3,AH4,U6:AF6)+SUMIF(U3:AF3,AH4,U7:AF7)++SUMIF(U3:AF3,AH4,U8:AF8)),0)</f>
        <v>0</v>
      </c>
    </row>
    <row r="8" spans="1:39">
      <c r="B8" s="481" t="s">
        <v>258</v>
      </c>
      <c r="C8" s="482">
        <f t="shared" si="2"/>
        <v>-20840.169999999998</v>
      </c>
      <c r="D8" s="482">
        <f>-7356.73+SUM(E8:N8,E11:T11)</f>
        <v>0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f>ROUND(((U5+U9+U10+U11)*(U4/12))+((SUM(U6:U7)/2)*(U4/12)),2)</f>
        <v>-469.42</v>
      </c>
      <c r="V8" s="489">
        <f>ROUND(((V5+V9+V10+V11)*(V4/12))+((SUM(V6:V7)/2)*(V4/12)),2)</f>
        <v>-623.28</v>
      </c>
      <c r="W8" s="489">
        <f t="shared" ref="W8:AC8" si="3">ROUND(((W5+W9+W10+W11)*(W4/12))+((SUM(W6:W7)/2)*(W4/12)),2)</f>
        <v>-514.44000000000005</v>
      </c>
      <c r="X8" s="489">
        <f t="shared" si="3"/>
        <v>-710.12</v>
      </c>
      <c r="Y8" s="489">
        <f t="shared" si="3"/>
        <v>-1169.55</v>
      </c>
      <c r="Z8" s="489">
        <f t="shared" si="3"/>
        <v>-1358.86</v>
      </c>
      <c r="AA8" s="489">
        <f t="shared" si="3"/>
        <v>-1622.23</v>
      </c>
      <c r="AB8" s="489">
        <f t="shared" si="3"/>
        <v>-1930.59</v>
      </c>
      <c r="AC8" s="489">
        <f t="shared" si="3"/>
        <v>-2365.7399999999998</v>
      </c>
      <c r="AD8" s="489">
        <f>ROUND(((AD5+AD9+AD10+AD11)*(AD4/12))+((SUM(AD6:AD7)/2)*(AD4/12)),2)</f>
        <v>-2908.72</v>
      </c>
      <c r="AE8" s="482">
        <f>ROUND(((AE5+AE9+AE10+AE11)*(AE4/12))+((SUM(AE6:AE7)/2)*(AE4/12)),2)</f>
        <v>-3449.12</v>
      </c>
      <c r="AF8" s="489">
        <f>ROUND(((AF5+AF9+AF10+AF11)*(AF4/12))+((SUM(AF6:AF7)/2)*(AF4/12)),2)</f>
        <v>-3718.1</v>
      </c>
      <c r="AH8" s="499" t="s">
        <v>307</v>
      </c>
      <c r="AI8" s="528">
        <v>805120</v>
      </c>
      <c r="AJ8" s="358" t="s">
        <v>288</v>
      </c>
      <c r="AK8" s="358" t="s">
        <v>291</v>
      </c>
      <c r="AL8" s="381">
        <f>IF((SUMIF(U3:AF3,AH4,U6:AF6)+SUMIF(U3:AF3,AH4,U7:AF7))&lt;0,-(SUMIF(U3:AF3,AH4,U6:AF6)+SUMIF(U3:AF3,AH4,U7:AF7)),0)</f>
        <v>0</v>
      </c>
      <c r="AM8" s="500">
        <f>IF((SUMIF(U3:AF3,AH4,U6:AF6)+SUMIF(U3:AF3,AH4,U7:AF7))&gt;0,(SUMIF(U3:AF3,AH4,U6:AF6)+SUMIF(U3:AF3,AH4,U7:AF7)),0)</f>
        <v>467735.49223500153</v>
      </c>
    </row>
    <row r="9" spans="1:39">
      <c r="B9" s="481" t="s">
        <v>262</v>
      </c>
      <c r="C9" s="482">
        <f t="shared" si="2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F9" s="482">
        <v>0</v>
      </c>
      <c r="AH9" s="499" t="s">
        <v>11</v>
      </c>
      <c r="AI9" s="528">
        <v>191010</v>
      </c>
      <c r="AJ9" s="358" t="s">
        <v>288</v>
      </c>
      <c r="AK9" s="358" t="s">
        <v>291</v>
      </c>
      <c r="AL9" s="381">
        <v>0</v>
      </c>
      <c r="AM9" s="500">
        <v>0</v>
      </c>
    </row>
    <row r="10" spans="1:39" ht="16" thickBot="1">
      <c r="B10" s="481" t="s">
        <v>263</v>
      </c>
      <c r="C10" s="482">
        <f t="shared" si="2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F10" s="482">
        <v>0</v>
      </c>
      <c r="AH10" s="501" t="str">
        <f>AH9</f>
        <v>Tracker Transfer</v>
      </c>
      <c r="AI10" s="529">
        <f>AI44</f>
        <v>191000</v>
      </c>
      <c r="AJ10" s="529" t="str">
        <f>AJ44</f>
        <v>GD</v>
      </c>
      <c r="AK10" s="529" t="str">
        <f>AK44</f>
        <v>ID</v>
      </c>
      <c r="AL10" s="503">
        <v>0</v>
      </c>
      <c r="AM10" s="521">
        <f>AL9</f>
        <v>0</v>
      </c>
    </row>
    <row r="11" spans="1:39" ht="16" thickBot="1">
      <c r="B11" s="481" t="s">
        <v>264</v>
      </c>
      <c r="C11" s="482">
        <f t="shared" si="2"/>
        <v>-20.049999999999997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f>29.11-49.16</f>
        <v>-20.049999999999997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F11" s="482">
        <v>0</v>
      </c>
      <c r="AH11" s="516"/>
      <c r="AI11" s="530"/>
      <c r="AJ11" s="517"/>
      <c r="AK11" s="517"/>
      <c r="AL11" s="517" t="s">
        <v>159</v>
      </c>
      <c r="AM11" s="518">
        <f>SUM(AL5:AL10)-SUM(AM5:AM10)</f>
        <v>0</v>
      </c>
    </row>
    <row r="12" spans="1:39">
      <c r="B12" s="481" t="s">
        <v>148</v>
      </c>
      <c r="C12" s="482">
        <f>SUM(U12:AF12)</f>
        <v>69842.77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69842.77</v>
      </c>
      <c r="V12" s="482">
        <v>0</v>
      </c>
      <c r="W12" s="482">
        <v>0</v>
      </c>
      <c r="X12" s="482">
        <v>0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482">
        <v>0</v>
      </c>
    </row>
    <row r="13" spans="1:39" ht="16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4">SUM(F5:F12)</f>
        <v>-179650.44284699953</v>
      </c>
      <c r="G13" s="541">
        <f t="shared" si="4"/>
        <v>-770749.33284699952</v>
      </c>
      <c r="H13" s="541">
        <f t="shared" si="4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v>312448.94088100048</v>
      </c>
      <c r="T13" s="541">
        <v>-411904.75797999633</v>
      </c>
      <c r="U13" s="541">
        <f t="shared" ref="U13:AF13" si="5">SUM(U5:U12)</f>
        <v>-645308.87581999751</v>
      </c>
      <c r="V13" s="541">
        <f t="shared" si="5"/>
        <v>-851195.3305709972</v>
      </c>
      <c r="W13" s="541">
        <f t="shared" si="5"/>
        <v>-383974.27833599568</v>
      </c>
      <c r="X13" s="541">
        <f t="shared" si="5"/>
        <v>-1321034.9598439964</v>
      </c>
      <c r="Y13" s="541">
        <f t="shared" si="5"/>
        <v>-1487056.0593459962</v>
      </c>
      <c r="Z13" s="541">
        <f t="shared" si="5"/>
        <v>-1775567.0958759973</v>
      </c>
      <c r="AA13" s="541">
        <f t="shared" si="5"/>
        <v>-2119408.0288879965</v>
      </c>
      <c r="AB13" s="541">
        <f t="shared" si="5"/>
        <v>-2515949.9171379954</v>
      </c>
      <c r="AC13" s="541">
        <f t="shared" si="5"/>
        <v>-3164199.8001459967</v>
      </c>
      <c r="AD13" s="541">
        <f t="shared" si="5"/>
        <v>-3819632.5755009972</v>
      </c>
      <c r="AE13" s="541">
        <f t="shared" si="5"/>
        <v>-4461715.3793109972</v>
      </c>
      <c r="AF13" s="541">
        <f t="shared" si="5"/>
        <v>-4465433.4793109968</v>
      </c>
    </row>
    <row r="14" spans="1:39" ht="16" thickTop="1">
      <c r="B14" s="481" t="s">
        <v>260</v>
      </c>
      <c r="E14" s="482" t="e">
        <f ca="1">_xll.Get_Balance(E3,"YTD","USD","Total","A","","001",$A$3,"GD","ID","DL")</f>
        <v>#NAME?</v>
      </c>
      <c r="F14" s="482" t="e">
        <f ca="1">_xll.Get_Balance(F3,"YTD","USD","Total","A","","001",$A$3,"GD","ID","DL")</f>
        <v>#NAME?</v>
      </c>
      <c r="G14" s="482" t="e">
        <f ca="1">_xll.Get_Balance(G3,"YTD","USD","Total","A","","001",$A$3,"GD","ID","DL")</f>
        <v>#NAME?</v>
      </c>
      <c r="H14" s="482" t="e">
        <f ca="1">_xll.Get_Balance(H3,"YTD","USD","Total","A","","001",$A$3,"GD","ID","DL")</f>
        <v>#NAME?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v>312448.96999999997</v>
      </c>
      <c r="T14" s="482">
        <v>-411904.73</v>
      </c>
      <c r="U14" s="482" t="e">
        <f ca="1">_xll.Get_Balance(U3,"YTD","USD","Total","A","","001",$A$3,"GD","ID","DL")</f>
        <v>#NAME?</v>
      </c>
      <c r="V14" s="482" t="e">
        <f ca="1">_xll.Get_Balance(V3,"YTD","USD","Total","A","","001",$A$3,"GD","ID","DL")</f>
        <v>#NAME?</v>
      </c>
      <c r="W14" s="482" t="e">
        <f ca="1">_xll.Get_Balance(W3,"YTD","USD","Total","A","","001",$A$3,"GD","ID","DL")</f>
        <v>#NAME?</v>
      </c>
      <c r="X14" s="482" t="e">
        <f ca="1">_xll.Get_Balance(X3,"YTD","USD","Total","A","","001",$A$3,"GD","ID","DL")</f>
        <v>#NAME?</v>
      </c>
      <c r="Y14" s="482" t="e">
        <f ca="1">_xll.Get_Balance(Y3,"YTD","USD","Total","A","","001",$A$3,"GD","ID","DL")</f>
        <v>#NAME?</v>
      </c>
      <c r="Z14" s="482" t="e">
        <f ca="1">_xll.Get_Balance(Z3,"YTD","USD","Total","A","","001",$A$3,"GD","ID","DL")</f>
        <v>#NAME?</v>
      </c>
      <c r="AA14" s="482" t="e">
        <f ca="1">_xll.Get_Balance(AA3,"YTD","USD","Total","A","","001",$A$3,"GD","ID","DL")</f>
        <v>#NAME?</v>
      </c>
      <c r="AB14" s="482" t="e">
        <f ca="1">_xll.Get_Balance(AB3,"YTD","USD","Total","A","","001",$A$3,"GD","ID","DL")</f>
        <v>#NAME?</v>
      </c>
      <c r="AC14" s="482" t="e">
        <f ca="1">_xll.Get_Balance(AC3,"YTD","USD","Total","A","","001",$A$3,"GD","ID","DL")</f>
        <v>#NAME?</v>
      </c>
      <c r="AD14" s="482" t="e">
        <f ca="1">_xll.Get_Balance(AD3,"YTD","USD","Total","A","","001",$A$3,"GD","ID","DL")</f>
        <v>#NAME?</v>
      </c>
      <c r="AE14" s="482" t="e">
        <f ca="1">_xll.Get_Balance(AE3,"YTD","USD","Total","A","","001",$A$3,"GD","ID","DL")</f>
        <v>#NAME?</v>
      </c>
      <c r="AF14" s="482" t="e">
        <f ca="1">_xll.Get_Balance(AF3,"YTD","USD","Total","A","","001",$A$3,"GD","ID","DL")</f>
        <v>#NAME?</v>
      </c>
      <c r="AH14" s="482">
        <v>94.58</v>
      </c>
    </row>
    <row r="15" spans="1:39">
      <c r="B15" s="481" t="s">
        <v>245</v>
      </c>
      <c r="E15" s="482" t="e">
        <f t="shared" ref="E15:H15" ca="1" si="6">E13-E14</f>
        <v>#NAME?</v>
      </c>
      <c r="F15" s="482" t="e">
        <f t="shared" ca="1" si="6"/>
        <v>#NAME?</v>
      </c>
      <c r="G15" s="482" t="e">
        <f t="shared" ca="1" si="6"/>
        <v>#NAME?</v>
      </c>
      <c r="H15" s="482" t="e">
        <f t="shared" ca="1" si="6"/>
        <v>#NAME?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v>-2.9118999489583075E-2</v>
      </c>
      <c r="T15" s="482">
        <v>-2.7979996346402913E-2</v>
      </c>
      <c r="U15" s="482" t="e">
        <f ca="1">U13-U14</f>
        <v>#NAME?</v>
      </c>
      <c r="V15" s="482" t="e">
        <f ca="1">V13-V14</f>
        <v>#NAME?</v>
      </c>
      <c r="W15" s="482" t="e">
        <f t="shared" ref="W15:AF15" ca="1" si="7">W13-W14</f>
        <v>#NAME?</v>
      </c>
      <c r="X15" s="482" t="e">
        <f t="shared" ca="1" si="7"/>
        <v>#NAME?</v>
      </c>
      <c r="Y15" s="482" t="e">
        <f t="shared" ca="1" si="7"/>
        <v>#NAME?</v>
      </c>
      <c r="Z15" s="482" t="e">
        <f t="shared" ca="1" si="7"/>
        <v>#NAME?</v>
      </c>
      <c r="AA15" s="482" t="e">
        <f t="shared" ca="1" si="7"/>
        <v>#NAME?</v>
      </c>
      <c r="AB15" s="482" t="e">
        <f t="shared" ca="1" si="7"/>
        <v>#NAME?</v>
      </c>
      <c r="AC15" s="482" t="e">
        <f t="shared" ca="1" si="7"/>
        <v>#NAME?</v>
      </c>
      <c r="AD15" s="482" t="e">
        <f t="shared" ca="1" si="7"/>
        <v>#NAME?</v>
      </c>
      <c r="AE15" s="482" t="e">
        <f t="shared" ca="1" si="7"/>
        <v>#NAME?</v>
      </c>
      <c r="AF15" s="482" t="e">
        <f t="shared" ca="1" si="7"/>
        <v>#NAME?</v>
      </c>
    </row>
    <row r="16" spans="1:39">
      <c r="A16" s="483" t="s">
        <v>271</v>
      </c>
      <c r="U16" s="482" t="s">
        <v>330</v>
      </c>
    </row>
    <row r="17" spans="1:39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I17" s="558"/>
      <c r="AL17" s="482">
        <v>0</v>
      </c>
    </row>
    <row r="18" spans="1:39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8">U18+1</f>
        <v>201502</v>
      </c>
      <c r="W18" s="484">
        <f t="shared" si="8"/>
        <v>201503</v>
      </c>
      <c r="X18" s="484">
        <f t="shared" si="8"/>
        <v>201504</v>
      </c>
      <c r="Y18" s="484">
        <f t="shared" si="8"/>
        <v>201505</v>
      </c>
      <c r="Z18" s="484">
        <f t="shared" si="8"/>
        <v>201506</v>
      </c>
      <c r="AA18" s="484">
        <f t="shared" si="8"/>
        <v>201507</v>
      </c>
      <c r="AB18" s="484">
        <f t="shared" si="8"/>
        <v>201508</v>
      </c>
      <c r="AC18" s="484">
        <f t="shared" si="8"/>
        <v>201509</v>
      </c>
      <c r="AD18" s="484">
        <f t="shared" si="8"/>
        <v>201510</v>
      </c>
      <c r="AE18" s="484">
        <f t="shared" si="8"/>
        <v>201511</v>
      </c>
      <c r="AF18" s="484">
        <f t="shared" si="8"/>
        <v>201512</v>
      </c>
      <c r="AI18" s="558"/>
    </row>
    <row r="19" spans="1:39">
      <c r="A19" s="483"/>
      <c r="B19" s="481" t="s">
        <v>37</v>
      </c>
      <c r="C19" s="491">
        <f>SUM(U19:AF19)</f>
        <v>39097164</v>
      </c>
      <c r="D19" s="491">
        <f>SUM(F19:Q19)</f>
        <v>56675951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f>Jan!$K36</f>
        <v>8991869</v>
      </c>
      <c r="V19" s="491">
        <f>Feb!$K36</f>
        <v>5607449</v>
      </c>
      <c r="W19" s="491">
        <f>Mar!$K36</f>
        <v>5090227</v>
      </c>
      <c r="X19" s="491">
        <f>Apr!$K36</f>
        <v>3621515</v>
      </c>
      <c r="Y19" s="491">
        <f>May!$K36</f>
        <v>1624041</v>
      </c>
      <c r="Z19" s="491">
        <f>Jun!$K36</f>
        <v>985347</v>
      </c>
      <c r="AA19" s="491">
        <f>Jul!$K36</f>
        <v>990038</v>
      </c>
      <c r="AB19" s="491">
        <f>Aug!$K36</f>
        <v>930531</v>
      </c>
      <c r="AC19" s="491">
        <f>Sep!$K36</f>
        <v>1531464</v>
      </c>
      <c r="AD19" s="491">
        <f>Oct!$K36</f>
        <v>2476612</v>
      </c>
      <c r="AE19" s="491">
        <f>Nov!$K36</f>
        <v>7248071</v>
      </c>
      <c r="AF19" s="491">
        <f>Dec!$K36</f>
        <v>0</v>
      </c>
      <c r="AG19" s="491"/>
    </row>
    <row r="20" spans="1:39">
      <c r="A20" s="483"/>
      <c r="B20" s="481" t="s">
        <v>38</v>
      </c>
      <c r="C20" s="491">
        <f t="shared" ref="C20:C24" si="9">SUM(U20:AF20)</f>
        <v>18037646</v>
      </c>
      <c r="D20" s="491">
        <f>SUM(F20:Q20)</f>
        <v>22466066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f>Jan!$K37</f>
        <v>2818068</v>
      </c>
      <c r="V20" s="491">
        <f>Feb!$K37</f>
        <v>2333245</v>
      </c>
      <c r="W20" s="491">
        <f>Mar!$K37</f>
        <v>1927746</v>
      </c>
      <c r="X20" s="491">
        <f>Apr!$K37</f>
        <v>1633221</v>
      </c>
      <c r="Y20" s="491">
        <f>May!$K37</f>
        <v>1075904</v>
      </c>
      <c r="Z20" s="491">
        <f>Jun!$K37</f>
        <v>1089173</v>
      </c>
      <c r="AA20" s="491">
        <f>Jul!$K37</f>
        <v>964252</v>
      </c>
      <c r="AB20" s="491">
        <f>Aug!$K37</f>
        <v>1322423</v>
      </c>
      <c r="AC20" s="491">
        <f>Sep!$K37</f>
        <v>1101192</v>
      </c>
      <c r="AD20" s="491">
        <f>Oct!$K37</f>
        <v>1392647</v>
      </c>
      <c r="AE20" s="491">
        <f>Nov!$K37</f>
        <v>2379775</v>
      </c>
      <c r="AF20" s="491">
        <f>Dec!$K37</f>
        <v>0</v>
      </c>
      <c r="AG20" s="491"/>
    </row>
    <row r="21" spans="1:39" hidden="1">
      <c r="A21" s="483"/>
      <c r="B21" s="481" t="s">
        <v>39</v>
      </c>
      <c r="C21" s="491">
        <f t="shared" si="9"/>
        <v>0</v>
      </c>
      <c r="D21" s="491">
        <f>SUM(G21:R21)</f>
        <v>0</v>
      </c>
      <c r="E21" s="491"/>
      <c r="F21" s="491"/>
      <c r="G21" s="491"/>
      <c r="H21" s="491"/>
    </row>
    <row r="22" spans="1:39" hidden="1">
      <c r="A22" s="483"/>
      <c r="B22" s="481" t="s">
        <v>40</v>
      </c>
      <c r="C22" s="491">
        <f t="shared" si="9"/>
        <v>0</v>
      </c>
      <c r="D22" s="491">
        <f>SUM(G22:R22)</f>
        <v>0</v>
      </c>
      <c r="E22" s="491"/>
      <c r="F22" s="491"/>
      <c r="G22" s="491"/>
      <c r="H22" s="491"/>
    </row>
    <row r="23" spans="1:39" hidden="1">
      <c r="A23" s="483"/>
      <c r="B23" s="481" t="s">
        <v>41</v>
      </c>
      <c r="C23" s="491">
        <f t="shared" si="9"/>
        <v>0</v>
      </c>
      <c r="D23" s="491">
        <f>SUM(G23:R23)</f>
        <v>0</v>
      </c>
      <c r="E23" s="491"/>
      <c r="F23" s="491"/>
      <c r="G23" s="491"/>
      <c r="H23" s="491"/>
    </row>
    <row r="24" spans="1:39">
      <c r="A24" s="483"/>
      <c r="B24" s="481" t="s">
        <v>42</v>
      </c>
      <c r="C24" s="491">
        <f t="shared" si="9"/>
        <v>0</v>
      </c>
      <c r="D24" s="491">
        <f>SUM(F24:Q24)</f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f>Jan!$K41</f>
        <v>0</v>
      </c>
      <c r="V24" s="491">
        <f>Feb!$K41</f>
        <v>0</v>
      </c>
      <c r="W24" s="491">
        <f>Mar!$K41</f>
        <v>0</v>
      </c>
      <c r="X24" s="491">
        <f>Apr!$K41</f>
        <v>0</v>
      </c>
      <c r="Y24" s="491">
        <f>May!$K41</f>
        <v>0</v>
      </c>
      <c r="Z24" s="491">
        <f>Jun!$K41</f>
        <v>0</v>
      </c>
      <c r="AA24" s="491">
        <f>Jul!$K41</f>
        <v>0</v>
      </c>
      <c r="AB24" s="491">
        <f>Aug!$K41</f>
        <v>0</v>
      </c>
      <c r="AC24" s="491">
        <f>Sep!$K41</f>
        <v>0</v>
      </c>
      <c r="AD24" s="491">
        <f>Oct!$K41</f>
        <v>0</v>
      </c>
      <c r="AE24" s="491">
        <f>Nov!$K41</f>
        <v>0</v>
      </c>
      <c r="AF24" s="491">
        <f>Dec!$K41</f>
        <v>0</v>
      </c>
      <c r="AG24" s="491"/>
    </row>
    <row r="25" spans="1:39" hidden="1">
      <c r="A25" s="483"/>
      <c r="B25" s="481" t="s">
        <v>43</v>
      </c>
      <c r="C25" s="491">
        <f t="shared" ref="C25:C26" si="10">SUM(I25:T25)</f>
        <v>0</v>
      </c>
      <c r="D25" s="491">
        <f>SUM(G25:R25)</f>
        <v>0</v>
      </c>
      <c r="E25" s="491"/>
      <c r="F25" s="491"/>
      <c r="G25" s="491"/>
      <c r="H25" s="491"/>
    </row>
    <row r="26" spans="1:39" hidden="1">
      <c r="A26" s="483"/>
      <c r="B26" s="481" t="s">
        <v>74</v>
      </c>
      <c r="C26" s="491">
        <f t="shared" si="10"/>
        <v>0</v>
      </c>
      <c r="D26" s="491">
        <f>SUM(G26:R26)</f>
        <v>0</v>
      </c>
      <c r="E26" s="491"/>
      <c r="F26" s="491"/>
      <c r="G26" s="491"/>
      <c r="H26" s="491"/>
    </row>
    <row r="27" spans="1:39" ht="16" thickBot="1">
      <c r="A27" s="483"/>
      <c r="B27" s="481" t="s">
        <v>21</v>
      </c>
      <c r="C27" s="542">
        <f>SUM(U27:AF27)</f>
        <v>57134810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1">SUM(G19:G26)</f>
        <v>9508099</v>
      </c>
      <c r="H27" s="542">
        <f t="shared" si="11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F27" si="12">SUM(U19:U26)</f>
        <v>11809937</v>
      </c>
      <c r="V27" s="542">
        <f t="shared" si="12"/>
        <v>7940694</v>
      </c>
      <c r="W27" s="542">
        <f t="shared" si="12"/>
        <v>7017973</v>
      </c>
      <c r="X27" s="542">
        <f t="shared" si="12"/>
        <v>5254736</v>
      </c>
      <c r="Y27" s="542">
        <f t="shared" si="12"/>
        <v>2699945</v>
      </c>
      <c r="Z27" s="542">
        <f t="shared" si="12"/>
        <v>2074520</v>
      </c>
      <c r="AA27" s="542">
        <f t="shared" si="12"/>
        <v>1954290</v>
      </c>
      <c r="AB27" s="542">
        <f t="shared" si="12"/>
        <v>2252954</v>
      </c>
      <c r="AC27" s="542">
        <f t="shared" si="12"/>
        <v>2632656</v>
      </c>
      <c r="AD27" s="542">
        <f t="shared" si="12"/>
        <v>3869259</v>
      </c>
      <c r="AE27" s="542">
        <f t="shared" si="12"/>
        <v>9627846</v>
      </c>
      <c r="AF27" s="542">
        <f t="shared" si="12"/>
        <v>0</v>
      </c>
    </row>
    <row r="28" spans="1:39" ht="16" thickTop="1">
      <c r="A28" s="483"/>
      <c r="B28" s="481" t="s">
        <v>269</v>
      </c>
      <c r="C28" s="491">
        <f>SUM(U28:AF28)</f>
        <v>26768604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/>
      <c r="Y28" s="491"/>
      <c r="Z28" s="491"/>
      <c r="AA28" s="543"/>
      <c r="AB28" s="543"/>
      <c r="AC28" s="543"/>
      <c r="AD28" s="543"/>
      <c r="AE28" s="543"/>
      <c r="AF28" s="543"/>
    </row>
    <row r="29" spans="1:39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</row>
    <row r="30" spans="1:39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3">U30+1</f>
        <v>201502</v>
      </c>
      <c r="W30" s="484">
        <f t="shared" si="13"/>
        <v>201503</v>
      </c>
      <c r="X30" s="484">
        <f t="shared" si="13"/>
        <v>201504</v>
      </c>
      <c r="Y30" s="484">
        <f t="shared" si="13"/>
        <v>201505</v>
      </c>
      <c r="Z30" s="484">
        <f t="shared" si="13"/>
        <v>201506</v>
      </c>
      <c r="AA30" s="484">
        <f t="shared" si="13"/>
        <v>201507</v>
      </c>
      <c r="AB30" s="484">
        <f t="shared" si="13"/>
        <v>201508</v>
      </c>
      <c r="AC30" s="484">
        <f t="shared" si="13"/>
        <v>201509</v>
      </c>
      <c r="AD30" s="484">
        <f t="shared" si="13"/>
        <v>201510</v>
      </c>
      <c r="AE30" s="484">
        <f t="shared" si="13"/>
        <v>201511</v>
      </c>
      <c r="AF30" s="484">
        <f t="shared" si="13"/>
        <v>201512</v>
      </c>
    </row>
    <row r="31" spans="1:39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270</v>
      </c>
      <c r="AF31" s="492" t="s">
        <v>270</v>
      </c>
      <c r="AH31" s="564"/>
      <c r="AI31" s="600"/>
      <c r="AJ31" s="564"/>
      <c r="AK31" s="564"/>
      <c r="AL31" s="564"/>
      <c r="AM31" s="564"/>
    </row>
    <row r="32" spans="1:39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270</v>
      </c>
      <c r="AF32" s="492" t="s">
        <v>270</v>
      </c>
    </row>
    <row r="33" spans="1:39" hidden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</row>
    <row r="34" spans="1:39" hidden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</row>
    <row r="35" spans="1:39" hidden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</row>
    <row r="36" spans="1:39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270</v>
      </c>
      <c r="AF36" s="492" t="s">
        <v>270</v>
      </c>
    </row>
    <row r="37" spans="1:39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</row>
    <row r="38" spans="1:39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</row>
    <row r="39" spans="1:39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</row>
    <row r="40" spans="1:39" s="483" customFormat="1" ht="16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4">U40+1</f>
        <v>201502</v>
      </c>
      <c r="W40" s="484">
        <f t="shared" si="14"/>
        <v>201503</v>
      </c>
      <c r="X40" s="484">
        <f t="shared" si="14"/>
        <v>201504</v>
      </c>
      <c r="Y40" s="484">
        <f t="shared" si="14"/>
        <v>201505</v>
      </c>
      <c r="Z40" s="484">
        <f t="shared" si="14"/>
        <v>201506</v>
      </c>
      <c r="AA40" s="484">
        <f t="shared" si="14"/>
        <v>201507</v>
      </c>
      <c r="AB40" s="484">
        <f t="shared" si="14"/>
        <v>201508</v>
      </c>
      <c r="AC40" s="484">
        <f t="shared" si="14"/>
        <v>201509</v>
      </c>
      <c r="AD40" s="484">
        <f t="shared" si="14"/>
        <v>201510</v>
      </c>
      <c r="AE40" s="484">
        <f t="shared" si="14"/>
        <v>201511</v>
      </c>
      <c r="AF40" s="484">
        <f t="shared" si="14"/>
        <v>201512</v>
      </c>
      <c r="AI40" s="484"/>
    </row>
    <row r="41" spans="1:39" s="483" customFormat="1" ht="16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H41" s="513">
        <f>AH4</f>
        <v>201503</v>
      </c>
      <c r="AI41" s="526"/>
      <c r="AJ41" s="514"/>
      <c r="AK41" s="514"/>
      <c r="AL41" s="514"/>
      <c r="AM41" s="515"/>
    </row>
    <row r="42" spans="1:39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v>-2186758.912321737</v>
      </c>
      <c r="U42" s="482">
        <f>T47</f>
        <v>-1736171.2350945051</v>
      </c>
      <c r="V42" s="482">
        <f>U47</f>
        <v>-1378328.2185436797</v>
      </c>
      <c r="W42" s="482">
        <f t="shared" ref="W42:AE42" si="15">V47</f>
        <v>-1137899.7056422413</v>
      </c>
      <c r="X42" s="482">
        <f t="shared" si="15"/>
        <v>-926639.6029007223</v>
      </c>
      <c r="Y42" s="482">
        <f t="shared" si="15"/>
        <v>-767548.6989257395</v>
      </c>
      <c r="Z42" s="482">
        <f t="shared" si="15"/>
        <v>-686048.78483840683</v>
      </c>
      <c r="AA42" s="482">
        <f t="shared" si="15"/>
        <v>-623508.05306193873</v>
      </c>
      <c r="AB42" s="482">
        <f t="shared" si="15"/>
        <v>-564572.92172328208</v>
      </c>
      <c r="AC42" s="482">
        <f t="shared" si="15"/>
        <v>-496502.52121340978</v>
      </c>
      <c r="AD42" s="482">
        <f t="shared" si="15"/>
        <v>-416823.84640902095</v>
      </c>
      <c r="AE42" s="482">
        <f t="shared" si="15"/>
        <v>-299458.0066884493</v>
      </c>
      <c r="AF42" s="482">
        <f>AE47</f>
        <v>-299707.55502735631</v>
      </c>
      <c r="AH42" s="497" t="s">
        <v>308</v>
      </c>
      <c r="AI42" s="527">
        <v>419600</v>
      </c>
      <c r="AJ42" s="498" t="s">
        <v>288</v>
      </c>
      <c r="AK42" s="498" t="s">
        <v>291</v>
      </c>
      <c r="AL42" s="519">
        <v>0</v>
      </c>
      <c r="AM42" s="520">
        <f>IF(SUMIF(U40:AF40,AH41,U44:AF44)&gt;0,SUMIF(U40:AF40,AH41,U44:AF44),0)</f>
        <v>0</v>
      </c>
    </row>
    <row r="43" spans="1:39">
      <c r="B43" s="481" t="s">
        <v>23</v>
      </c>
      <c r="C43" s="482">
        <f>SUM(U43:AF43)</f>
        <v>1444686.7752400001</v>
      </c>
      <c r="D43" s="491">
        <f>SUM(F43:Q43)</f>
        <v>-10808.645800000002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16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313583.3579</v>
      </c>
      <c r="T43" s="557">
        <v>332991.17</v>
      </c>
      <c r="U43" s="482">
        <f t="shared" ref="U43:Z43" si="17">SUMPRODUCT(U19:U26,U31:U38)</f>
        <v>359140.18416999996</v>
      </c>
      <c r="V43" s="482">
        <f t="shared" si="17"/>
        <v>241476.50453999999</v>
      </c>
      <c r="W43" s="482">
        <f t="shared" si="17"/>
        <v>213416.55893</v>
      </c>
      <c r="X43" s="482">
        <f t="shared" si="17"/>
        <v>159796.52176</v>
      </c>
      <c r="Y43" s="482">
        <f t="shared" si="17"/>
        <v>82105.327449999997</v>
      </c>
      <c r="Z43" s="482">
        <f t="shared" si="17"/>
        <v>63086.153200000001</v>
      </c>
      <c r="AA43" s="482">
        <f>SUMPRODUCT(AA19:AA26,AA31:AA38)</f>
        <v>59429.958899999998</v>
      </c>
      <c r="AB43" s="482">
        <f t="shared" ref="AB43:AD43" si="18">SUMPRODUCT(AB19:AB26,AB31:AB38)</f>
        <v>68512.331139999995</v>
      </c>
      <c r="AC43" s="482">
        <f t="shared" si="18"/>
        <v>80059.068960000004</v>
      </c>
      <c r="AD43" s="482">
        <f t="shared" si="18"/>
        <v>117664.16618999999</v>
      </c>
      <c r="AE43" s="563"/>
      <c r="AF43" s="563"/>
      <c r="AH43" s="499" t="s">
        <v>309</v>
      </c>
      <c r="AI43" s="528">
        <v>431600</v>
      </c>
      <c r="AJ43" s="358" t="s">
        <v>288</v>
      </c>
      <c r="AK43" s="358" t="s">
        <v>291</v>
      </c>
      <c r="AL43" s="381">
        <f>IF(SUMIF(U40:AF40,AH41,U44:AF44)&lt;0,-SUMIF(U40:AF40,AH41,U44:AF44),0)</f>
        <v>859.32618848103448</v>
      </c>
      <c r="AM43" s="500">
        <v>0</v>
      </c>
    </row>
    <row r="44" spans="1:39">
      <c r="B44" s="481" t="s">
        <v>4</v>
      </c>
      <c r="C44" s="482">
        <f t="shared" ref="C44:C46" si="19">SUM(U44:AF44)</f>
        <v>-7175.7214687072938</v>
      </c>
      <c r="D44" s="491">
        <f>SUM(F44:Q44)</f>
        <v>1068.3629816064952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-1926.4530193769669</v>
      </c>
      <c r="T44" s="489">
        <f t="shared" ref="T44:AD44" si="20">((T42*(T41/12))+((T43/2)*(T41/12)))</f>
        <v>-1683.5527727681142</v>
      </c>
      <c r="U44" s="489">
        <f t="shared" si="20"/>
        <v>-1297.1676191745878</v>
      </c>
      <c r="V44" s="489">
        <f t="shared" si="20"/>
        <v>-1047.9916385613997</v>
      </c>
      <c r="W44" s="489">
        <f t="shared" si="20"/>
        <v>-859.32618848103448</v>
      </c>
      <c r="X44" s="489">
        <f t="shared" si="20"/>
        <v>-705.6177850172686</v>
      </c>
      <c r="Y44" s="489">
        <f t="shared" si="20"/>
        <v>-605.41336266728297</v>
      </c>
      <c r="Z44" s="489">
        <f t="shared" si="20"/>
        <v>-545.42142353200575</v>
      </c>
      <c r="AA44" s="489">
        <f t="shared" si="20"/>
        <v>-494.8275613432823</v>
      </c>
      <c r="AB44" s="489">
        <f t="shared" si="20"/>
        <v>-441.93063012773513</v>
      </c>
      <c r="AC44" s="489">
        <f t="shared" si="20"/>
        <v>-380.39415561117482</v>
      </c>
      <c r="AD44" s="489">
        <f t="shared" si="20"/>
        <v>-298.32646942835083</v>
      </c>
      <c r="AE44" s="560">
        <f>((AE42+AE45)*(AE41/12))+(((AE43+AE46)/2)*(AE41/12))</f>
        <v>-249.54833890704109</v>
      </c>
      <c r="AF44" s="560">
        <f t="shared" ref="AF44" si="21">((AF42*(AF41/12))+((AF43/2)*(AF41/12)))</f>
        <v>-249.75629585613027</v>
      </c>
      <c r="AH44" s="499" t="s">
        <v>310</v>
      </c>
      <c r="AI44" s="528">
        <v>191000</v>
      </c>
      <c r="AJ44" s="358" t="s">
        <v>288</v>
      </c>
      <c r="AK44" s="358" t="s">
        <v>291</v>
      </c>
      <c r="AL44" s="381">
        <f>IF((SUMIF(U40:AF40,AH41,U43:AF43)+SUMIF(U40:AF40,AH41,U44:AF44))&gt;0,(SUMIF(U40:AF40,AH41,U43:AF43)+SUMIF(U40:AF40,AH41,U44:AF44)),0)</f>
        <v>212557.23274151896</v>
      </c>
      <c r="AM44" s="500">
        <f>IF((SUMIF(U40:AF40,AH41,U43:AF43)+SUMIF(U40:AF40,AH41,U44:AF44))&lt;0,-(SUMIF(U40:AF40,AH41,U43:AF43)+SUMIF(U40:AF40,AH41,U44:AF44)),0)</f>
        <v>0</v>
      </c>
    </row>
    <row r="45" spans="1:39">
      <c r="B45" s="481" t="s">
        <v>259</v>
      </c>
      <c r="C45" s="482">
        <f t="shared" si="19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63">
        <f>-AE9-AE10-AE11</f>
        <v>0</v>
      </c>
      <c r="AF45" s="563">
        <v>0</v>
      </c>
      <c r="AH45" s="499" t="s">
        <v>311</v>
      </c>
      <c r="AI45" s="528">
        <v>805110</v>
      </c>
      <c r="AJ45" s="358" t="s">
        <v>288</v>
      </c>
      <c r="AK45" s="358" t="s">
        <v>291</v>
      </c>
      <c r="AL45" s="381">
        <f>IF((SUMIF(U40:AF40,AH41,U43:AF43))&lt;0,-(SUMIF(U40:AF40,AH41,U43:AF43)),0)</f>
        <v>0</v>
      </c>
      <c r="AM45" s="500">
        <f>IF((SUMIF(U40:AF40,AH41,U43:AF43))&gt;0,(SUMIF(U40:AF40,AH41,U43:AF43)),0)</f>
        <v>213416.55893</v>
      </c>
    </row>
    <row r="46" spans="1:39">
      <c r="B46" s="481" t="s">
        <v>148</v>
      </c>
      <c r="C46" s="482">
        <f t="shared" si="19"/>
        <v>-1297.1300000000001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-59761.03</v>
      </c>
      <c r="T46" s="557">
        <f>119522.06-242</f>
        <v>119280.06</v>
      </c>
      <c r="U46" s="482">
        <v>0</v>
      </c>
      <c r="V46" s="482">
        <v>0</v>
      </c>
      <c r="W46" s="482">
        <v>-1297.1300000000001</v>
      </c>
      <c r="X46" s="482">
        <v>0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63"/>
      <c r="AF46" s="563">
        <f>-AE46*2</f>
        <v>0</v>
      </c>
      <c r="AH46" s="153" t="s">
        <v>156</v>
      </c>
      <c r="AI46" s="209">
        <f t="shared" ref="AI46:AK47" si="22">AI44</f>
        <v>191000</v>
      </c>
      <c r="AJ46" s="209" t="str">
        <f t="shared" si="22"/>
        <v>GD</v>
      </c>
      <c r="AK46" s="209" t="str">
        <f t="shared" si="22"/>
        <v>ID</v>
      </c>
      <c r="AL46" s="472">
        <v>0</v>
      </c>
      <c r="AM46" s="462"/>
    </row>
    <row r="47" spans="1:39" ht="16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23">SUM(F42:F46)</f>
        <v>122203.74560073584</v>
      </c>
      <c r="G47" s="541">
        <f t="shared" si="23"/>
        <v>121907.05607206978</v>
      </c>
      <c r="H47" s="541">
        <f t="shared" si="23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v>-2186758.912321737</v>
      </c>
      <c r="T47" s="541">
        <f>SUM(T42:T46)</f>
        <v>-1736171.2350945051</v>
      </c>
      <c r="U47" s="541">
        <f>SUM(U42:U46)</f>
        <v>-1378328.2185436797</v>
      </c>
      <c r="V47" s="541">
        <f t="shared" ref="V47:AF47" si="24">SUM(V42:V46)</f>
        <v>-1137899.7056422413</v>
      </c>
      <c r="W47" s="541">
        <f t="shared" si="24"/>
        <v>-926639.6029007223</v>
      </c>
      <c r="X47" s="541">
        <f t="shared" si="24"/>
        <v>-767548.6989257395</v>
      </c>
      <c r="Y47" s="541">
        <f t="shared" si="24"/>
        <v>-686048.78483840683</v>
      </c>
      <c r="Z47" s="541">
        <f t="shared" si="24"/>
        <v>-623508.05306193873</v>
      </c>
      <c r="AA47" s="541">
        <f t="shared" si="24"/>
        <v>-564572.92172328208</v>
      </c>
      <c r="AB47" s="541">
        <f t="shared" si="24"/>
        <v>-496502.52121340978</v>
      </c>
      <c r="AC47" s="541">
        <f t="shared" si="24"/>
        <v>-416823.84640902095</v>
      </c>
      <c r="AD47" s="541">
        <f t="shared" si="24"/>
        <v>-299458.0066884493</v>
      </c>
      <c r="AE47" s="541">
        <f t="shared" si="24"/>
        <v>-299707.55502735631</v>
      </c>
      <c r="AF47" s="541">
        <f t="shared" si="24"/>
        <v>-299957.31132321246</v>
      </c>
      <c r="AH47" s="154" t="str">
        <f>AH46</f>
        <v>Large Customer Refund</v>
      </c>
      <c r="AI47" s="561">
        <f t="shared" si="22"/>
        <v>805110</v>
      </c>
      <c r="AJ47" s="561" t="str">
        <f t="shared" si="22"/>
        <v>GD</v>
      </c>
      <c r="AK47" s="561" t="str">
        <f t="shared" si="22"/>
        <v>ID</v>
      </c>
      <c r="AL47" s="464"/>
      <c r="AM47" s="473">
        <v>0</v>
      </c>
    </row>
    <row r="48" spans="1:39" ht="16.5" thickTop="1" thickBot="1">
      <c r="B48" s="481" t="s">
        <v>260</v>
      </c>
      <c r="E48" s="482" t="e">
        <f ca="1">_xll.Get_Balance(E40,"YTD","USD","Total","A","","001",$A$40,"GD","ID","DL")</f>
        <v>#NAME?</v>
      </c>
      <c r="F48" s="482" t="e">
        <f ca="1">_xll.Get_Balance(F40,"YTD","USD","Total","A","","001",$A$40,"GD","ID","DL")</f>
        <v>#NAME?</v>
      </c>
      <c r="G48" s="482" t="e">
        <f ca="1">_xll.Get_Balance(G40,"YTD","USD","Total","A","","001",$A$40,"GD","ID","DL")</f>
        <v>#NAME?</v>
      </c>
      <c r="H48" s="482" t="e">
        <f ca="1">_xll.Get_Balance(H40,"YTD","USD","Total","A","","001",$A$40,"GD","ID","DL")</f>
        <v>#NAME?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v>-2186758.9</v>
      </c>
      <c r="T48" s="482" t="e">
        <f ca="1">_xll.Get_Balance(T40,"YTD","USD","Total","A","","001",$A$40,"GD","ID","DL")</f>
        <v>#NAME?</v>
      </c>
      <c r="U48" s="482" t="e">
        <f ca="1">_xll.Get_Balance(U40,"YTD","USD","Total","A","","001",$A$40,"GD","ID","DL")</f>
        <v>#NAME?</v>
      </c>
      <c r="V48" s="482" t="e">
        <f ca="1">_xll.Get_Balance(V40,"YTD","USD","Total","A","","001",$A$40,"GD","ID","DL")</f>
        <v>#NAME?</v>
      </c>
      <c r="W48" s="482" t="e">
        <f ca="1">_xll.Get_Balance(W40,"YTD","USD","Total","A","","001",$A$40,"GD","ID","DL")</f>
        <v>#NAME?</v>
      </c>
      <c r="X48" s="482" t="e">
        <f ca="1">_xll.Get_Balance(X40,"YTD","USD","Total","A","","001",$A$40,"GD","ID","DL")</f>
        <v>#NAME?</v>
      </c>
      <c r="Y48" s="482" t="e">
        <f ca="1">_xll.Get_Balance(Y40,"YTD","USD","Total","A","","001",$A$40,"GD","ID","DL")</f>
        <v>#NAME?</v>
      </c>
      <c r="Z48" s="482" t="e">
        <f ca="1">_xll.Get_Balance(Z40,"YTD","USD","Total","A","","001",$A$40,"GD","ID","DL")</f>
        <v>#NAME?</v>
      </c>
      <c r="AA48" s="482" t="e">
        <f ca="1">_xll.Get_Balance(AA40,"YTD","USD","Total","A","","001",$A$40,"GD","ID","DL")</f>
        <v>#NAME?</v>
      </c>
      <c r="AB48" s="482" t="e">
        <f ca="1">_xll.Get_Balance(AB40,"YTD","USD","Total","A","","001",$A$40,"GD","ID","DL")</f>
        <v>#NAME?</v>
      </c>
      <c r="AC48" s="482" t="e">
        <f ca="1">_xll.Get_Balance(AC40,"YTD","USD","Total","A","","001",$A$40,"GD","ID","DL")</f>
        <v>#NAME?</v>
      </c>
      <c r="AD48" s="482" t="e">
        <f ca="1">_xll.Get_Balance(AD40,"YTD","USD","Total","A","","001",$A$40,"GD","ID","DL")</f>
        <v>#NAME?</v>
      </c>
      <c r="AE48" s="482" t="e">
        <f ca="1">_xll.Get_Balance(AE40,"YTD","USD","Total","A","","001",$A$40,"GD","ID","DL")</f>
        <v>#NAME?</v>
      </c>
      <c r="AF48" s="482" t="e">
        <f ca="1">_xll.Get_Balance(AF40,"YTD","USD","Total","A","","001",$A$40,"GD","ID","DL")</f>
        <v>#NAME?</v>
      </c>
      <c r="AH48" s="516"/>
      <c r="AI48" s="530"/>
      <c r="AJ48" s="517"/>
      <c r="AK48" s="517"/>
      <c r="AL48" s="517" t="s">
        <v>159</v>
      </c>
      <c r="AM48" s="518">
        <f>SUM(AL42:AL47)-SUM(AM42:AM47)</f>
        <v>0</v>
      </c>
    </row>
    <row r="49" spans="1:33">
      <c r="B49" s="481" t="s">
        <v>245</v>
      </c>
      <c r="E49" s="482" t="e">
        <f t="shared" ref="E49:H49" ca="1" si="25">E47-E48</f>
        <v>#NAME?</v>
      </c>
      <c r="F49" s="482" t="e">
        <f t="shared" ca="1" si="25"/>
        <v>#NAME?</v>
      </c>
      <c r="G49" s="482" t="e">
        <f t="shared" ca="1" si="25"/>
        <v>#NAME?</v>
      </c>
      <c r="H49" s="482" t="e">
        <f t="shared" ca="1" si="25"/>
        <v>#NAME?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v>-1.2321737129241228E-2</v>
      </c>
      <c r="T49" s="482" t="e">
        <f ca="1">T47-T48</f>
        <v>#NAME?</v>
      </c>
      <c r="U49" s="482" t="e">
        <f ca="1">U47-U48</f>
        <v>#NAME?</v>
      </c>
      <c r="V49" s="482" t="e">
        <f t="shared" ref="V49:AG49" ca="1" si="26">V47-V48</f>
        <v>#NAME?</v>
      </c>
      <c r="W49" s="482" t="e">
        <f t="shared" ca="1" si="26"/>
        <v>#NAME?</v>
      </c>
      <c r="X49" s="482" t="e">
        <f t="shared" ca="1" si="26"/>
        <v>#NAME?</v>
      </c>
      <c r="Y49" s="482" t="e">
        <f t="shared" ca="1" si="26"/>
        <v>#NAME?</v>
      </c>
      <c r="Z49" s="482" t="e">
        <f t="shared" ca="1" si="26"/>
        <v>#NAME?</v>
      </c>
      <c r="AA49" s="482" t="e">
        <f t="shared" ca="1" si="26"/>
        <v>#NAME?</v>
      </c>
      <c r="AB49" s="482" t="e">
        <f t="shared" ca="1" si="26"/>
        <v>#NAME?</v>
      </c>
      <c r="AC49" s="482" t="e">
        <f t="shared" ca="1" si="26"/>
        <v>#NAME?</v>
      </c>
      <c r="AD49" s="482" t="e">
        <f t="shared" ca="1" si="26"/>
        <v>#NAME?</v>
      </c>
      <c r="AE49" s="482" t="e">
        <f t="shared" ca="1" si="26"/>
        <v>#NAME?</v>
      </c>
      <c r="AF49" s="482" t="e">
        <f t="shared" ca="1" si="26"/>
        <v>#NAME?</v>
      </c>
      <c r="AG49" s="482">
        <f t="shared" si="26"/>
        <v>0</v>
      </c>
    </row>
    <row r="50" spans="1:33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</row>
    <row r="51" spans="1:33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27">U51+1</f>
        <v>201502</v>
      </c>
      <c r="W51" s="484">
        <f t="shared" si="27"/>
        <v>201503</v>
      </c>
      <c r="X51" s="484">
        <f t="shared" si="27"/>
        <v>201504</v>
      </c>
      <c r="Y51" s="484">
        <f t="shared" si="27"/>
        <v>201505</v>
      </c>
      <c r="Z51" s="484">
        <f t="shared" si="27"/>
        <v>201506</v>
      </c>
      <c r="AA51" s="484">
        <f t="shared" si="27"/>
        <v>201507</v>
      </c>
      <c r="AB51" s="484">
        <f t="shared" si="27"/>
        <v>201508</v>
      </c>
      <c r="AC51" s="484">
        <f t="shared" si="27"/>
        <v>201509</v>
      </c>
      <c r="AD51" s="484">
        <f t="shared" si="27"/>
        <v>201510</v>
      </c>
      <c r="AE51" s="484">
        <f t="shared" si="27"/>
        <v>201511</v>
      </c>
      <c r="AF51" s="484">
        <f t="shared" si="27"/>
        <v>201512</v>
      </c>
    </row>
    <row r="52" spans="1:33">
      <c r="A52" s="483"/>
      <c r="B52" s="481" t="s">
        <v>37</v>
      </c>
      <c r="C52" s="491">
        <f>SUM(U52:AF52)</f>
        <v>39097164</v>
      </c>
      <c r="D52" s="491">
        <f>SUM(F52:Q52)</f>
        <v>52384687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f>Jan!$K36</f>
        <v>8991869</v>
      </c>
      <c r="V52" s="491">
        <f>Feb!$K36</f>
        <v>5607449</v>
      </c>
      <c r="W52" s="491">
        <f>Mar!$K36</f>
        <v>5090227</v>
      </c>
      <c r="X52" s="491">
        <f>Apr!$K36</f>
        <v>3621515</v>
      </c>
      <c r="Y52" s="491">
        <f>May!$K36</f>
        <v>1624041</v>
      </c>
      <c r="Z52" s="491">
        <f>Jun!$K36</f>
        <v>985347</v>
      </c>
      <c r="AA52" s="491">
        <f>Jul!$K36</f>
        <v>990038</v>
      </c>
      <c r="AB52" s="491">
        <f>Aug!$K36</f>
        <v>930531</v>
      </c>
      <c r="AC52" s="491">
        <f>Sep!$K36</f>
        <v>1531464</v>
      </c>
      <c r="AD52" s="491">
        <f>Oct!$K36</f>
        <v>2476612</v>
      </c>
      <c r="AE52" s="491">
        <f>Nov!$K36</f>
        <v>7248071</v>
      </c>
      <c r="AF52" s="491">
        <f>Dec!$K36</f>
        <v>0</v>
      </c>
      <c r="AG52" s="491">
        <f>Jan!$K36</f>
        <v>8991869</v>
      </c>
    </row>
    <row r="53" spans="1:33">
      <c r="A53" s="483"/>
      <c r="B53" s="481" t="s">
        <v>38</v>
      </c>
      <c r="C53" s="491">
        <f t="shared" ref="C53:C60" si="28">SUM(U53:AF53)</f>
        <v>18037646</v>
      </c>
      <c r="D53" s="491">
        <f>SUM(F53:Q53)</f>
        <v>20863784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f>Jan!$K37</f>
        <v>2818068</v>
      </c>
      <c r="V53" s="491">
        <f>Feb!$K37</f>
        <v>2333245</v>
      </c>
      <c r="W53" s="491">
        <f>Mar!$K37</f>
        <v>1927746</v>
      </c>
      <c r="X53" s="491">
        <f>Apr!$K37</f>
        <v>1633221</v>
      </c>
      <c r="Y53" s="491">
        <f>May!$K37</f>
        <v>1075904</v>
      </c>
      <c r="Z53" s="491">
        <f>Jun!$K37</f>
        <v>1089173</v>
      </c>
      <c r="AA53" s="491">
        <f>Jul!$K37</f>
        <v>964252</v>
      </c>
      <c r="AB53" s="491">
        <f>Aug!$K37</f>
        <v>1322423</v>
      </c>
      <c r="AC53" s="491">
        <f>Sep!$K37</f>
        <v>1101192</v>
      </c>
      <c r="AD53" s="491">
        <f>Oct!$K37</f>
        <v>1392647</v>
      </c>
      <c r="AE53" s="491">
        <f>Nov!$K37</f>
        <v>2379775</v>
      </c>
      <c r="AF53" s="491">
        <f>Dec!$K37</f>
        <v>0</v>
      </c>
      <c r="AG53" s="491">
        <f>Jan!$K37</f>
        <v>2818068</v>
      </c>
    </row>
    <row r="54" spans="1:33">
      <c r="A54" s="483"/>
      <c r="B54" s="481" t="s">
        <v>39</v>
      </c>
      <c r="C54" s="491">
        <f t="shared" si="28"/>
        <v>246353</v>
      </c>
      <c r="D54" s="491">
        <f>SUM(F54:Q54)</f>
        <v>216282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f>Jan!$K38</f>
        <v>2994</v>
      </c>
      <c r="V54" s="491">
        <f>Feb!$K38</f>
        <v>1973</v>
      </c>
      <c r="W54" s="491">
        <f>Mar!$K38</f>
        <v>871</v>
      </c>
      <c r="X54" s="491">
        <f>Apr!$K38</f>
        <v>5610</v>
      </c>
      <c r="Y54" s="491">
        <f>May!$K38</f>
        <v>18173</v>
      </c>
      <c r="Z54" s="491">
        <f>Jun!$K38</f>
        <v>21920</v>
      </c>
      <c r="AA54" s="491">
        <f>Jul!$K38</f>
        <v>28026</v>
      </c>
      <c r="AB54" s="491">
        <f>Aug!$K38</f>
        <v>47622</v>
      </c>
      <c r="AC54" s="491">
        <f>Sep!$K38</f>
        <v>26734</v>
      </c>
      <c r="AD54" s="491">
        <f>Oct!$K38</f>
        <v>68934</v>
      </c>
      <c r="AE54" s="491">
        <f>Nov!$K38</f>
        <v>23496</v>
      </c>
      <c r="AF54" s="491">
        <f>Dec!$K38</f>
        <v>0</v>
      </c>
      <c r="AG54" s="491">
        <f>Jan!$K38</f>
        <v>2994</v>
      </c>
    </row>
    <row r="55" spans="1:33">
      <c r="A55" s="483"/>
      <c r="B55" s="481" t="s">
        <v>40</v>
      </c>
      <c r="C55" s="491">
        <f t="shared" si="28"/>
        <v>0</v>
      </c>
      <c r="D55" s="491">
        <f>SUM(F55:Q55)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f>Jan!$K39</f>
        <v>0</v>
      </c>
      <c r="V55" s="491">
        <f>Feb!$K39</f>
        <v>0</v>
      </c>
      <c r="W55" s="491">
        <f>Mar!$K39</f>
        <v>0</v>
      </c>
      <c r="X55" s="491">
        <f>Apr!$K39</f>
        <v>0</v>
      </c>
      <c r="Y55" s="491">
        <f>May!$K39</f>
        <v>0</v>
      </c>
      <c r="Z55" s="491">
        <f>Jun!$K39</f>
        <v>0</v>
      </c>
      <c r="AA55" s="491">
        <f>Jul!$K39</f>
        <v>0</v>
      </c>
      <c r="AB55" s="491">
        <f>Aug!$K39</f>
        <v>0</v>
      </c>
      <c r="AC55" s="491">
        <f>Sep!$K39</f>
        <v>0</v>
      </c>
      <c r="AD55" s="491">
        <f>Oct!$K39</f>
        <v>0</v>
      </c>
      <c r="AE55" s="491">
        <f>Nov!$K39</f>
        <v>0</v>
      </c>
      <c r="AF55" s="491">
        <f>Dec!$K39</f>
        <v>0</v>
      </c>
      <c r="AG55" s="491">
        <f>Jan!$K39</f>
        <v>0</v>
      </c>
    </row>
    <row r="56" spans="1:33" hidden="1">
      <c r="A56" s="483"/>
      <c r="B56" s="481" t="s">
        <v>41</v>
      </c>
      <c r="C56" s="491">
        <f t="shared" si="28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</row>
    <row r="57" spans="1:33" hidden="1">
      <c r="A57" s="483"/>
      <c r="B57" s="481" t="s">
        <v>42</v>
      </c>
      <c r="C57" s="491">
        <f t="shared" si="28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</row>
    <row r="58" spans="1:33">
      <c r="A58" s="483"/>
      <c r="B58" s="481" t="s">
        <v>43</v>
      </c>
      <c r="C58" s="491">
        <f t="shared" si="28"/>
        <v>148273</v>
      </c>
      <c r="D58" s="491">
        <f>SUM(F58:Q58)</f>
        <v>312916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f>Jan!$K42</f>
        <v>40458</v>
      </c>
      <c r="V58" s="491">
        <f>Feb!$K42</f>
        <v>33212</v>
      </c>
      <c r="W58" s="491">
        <f>Mar!$K42</f>
        <v>33140</v>
      </c>
      <c r="X58" s="491">
        <f>Apr!$K42</f>
        <v>25684</v>
      </c>
      <c r="Y58" s="491">
        <f>May!$K42</f>
        <v>15779</v>
      </c>
      <c r="Z58" s="491">
        <f>Jun!$K42</f>
        <v>0</v>
      </c>
      <c r="AA58" s="491">
        <f>Jul!$K42</f>
        <v>0</v>
      </c>
      <c r="AB58" s="491">
        <f>Aug!$K42</f>
        <v>0</v>
      </c>
      <c r="AC58" s="491">
        <f>Sep!$K42</f>
        <v>0</v>
      </c>
      <c r="AD58" s="491">
        <f>Oct!$K42</f>
        <v>0</v>
      </c>
      <c r="AE58" s="491">
        <f>Nov!$K42</f>
        <v>0</v>
      </c>
      <c r="AF58" s="491">
        <f>Dec!$K42</f>
        <v>0</v>
      </c>
      <c r="AG58" s="491">
        <f>Jan!$K42</f>
        <v>40458</v>
      </c>
    </row>
    <row r="59" spans="1:33" hidden="1">
      <c r="A59" s="483"/>
      <c r="B59" s="481" t="s">
        <v>74</v>
      </c>
      <c r="C59" s="491">
        <f t="shared" ref="C59" si="29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</row>
    <row r="60" spans="1:33" ht="16" thickBot="1">
      <c r="A60" s="483"/>
      <c r="B60" s="481" t="s">
        <v>21</v>
      </c>
      <c r="C60" s="542">
        <f t="shared" si="28"/>
        <v>57529436</v>
      </c>
      <c r="D60" s="542">
        <f>SUM(F60:Q60)</f>
        <v>73777669</v>
      </c>
      <c r="E60" s="542" t="s">
        <v>272</v>
      </c>
      <c r="F60" s="542">
        <f>SUM(F52:F59)</f>
        <v>0</v>
      </c>
      <c r="G60" s="542">
        <f t="shared" ref="G60:H60" si="30">SUM(G52:G59)</f>
        <v>9560411</v>
      </c>
      <c r="H60" s="542">
        <f t="shared" si="30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F60" si="31">SUM(U52:U59)</f>
        <v>11853389</v>
      </c>
      <c r="V60" s="542">
        <f t="shared" si="31"/>
        <v>7975879</v>
      </c>
      <c r="W60" s="542">
        <f t="shared" si="31"/>
        <v>7051984</v>
      </c>
      <c r="X60" s="542">
        <f t="shared" si="31"/>
        <v>5286030</v>
      </c>
      <c r="Y60" s="542">
        <f t="shared" si="31"/>
        <v>2733897</v>
      </c>
      <c r="Z60" s="542">
        <f t="shared" si="31"/>
        <v>2096440</v>
      </c>
      <c r="AA60" s="542">
        <f t="shared" si="31"/>
        <v>1982316</v>
      </c>
      <c r="AB60" s="542">
        <f t="shared" si="31"/>
        <v>2300576</v>
      </c>
      <c r="AC60" s="542">
        <f t="shared" si="31"/>
        <v>2659390</v>
      </c>
      <c r="AD60" s="542">
        <f t="shared" si="31"/>
        <v>3938193</v>
      </c>
      <c r="AE60" s="542">
        <f t="shared" si="31"/>
        <v>9651342</v>
      </c>
      <c r="AF60" s="542">
        <f t="shared" si="31"/>
        <v>0</v>
      </c>
    </row>
    <row r="61" spans="1:33" ht="16" thickTop="1">
      <c r="A61" s="483"/>
      <c r="B61" s="481" t="s">
        <v>269</v>
      </c>
      <c r="C61" s="491">
        <f>SUM(U61:AF61)</f>
        <v>26881252</v>
      </c>
      <c r="D61" s="491">
        <f>SUM(F61:Q61)</f>
        <v>73777669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f>Mar!K44</f>
        <v>7051984</v>
      </c>
      <c r="X61" s="543"/>
      <c r="Y61" s="543"/>
      <c r="Z61" s="543"/>
      <c r="AA61" s="543"/>
      <c r="AB61" s="543"/>
      <c r="AC61" s="543"/>
      <c r="AD61" s="543"/>
      <c r="AE61" s="543"/>
    </row>
    <row r="62" spans="1:33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</row>
    <row r="63" spans="1:33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32">U63+1</f>
        <v>201502</v>
      </c>
      <c r="W63" s="484">
        <f t="shared" si="32"/>
        <v>201503</v>
      </c>
      <c r="X63" s="484">
        <f t="shared" si="32"/>
        <v>201504</v>
      </c>
      <c r="Y63" s="484">
        <f t="shared" si="32"/>
        <v>201505</v>
      </c>
      <c r="Z63" s="484">
        <f t="shared" si="32"/>
        <v>201506</v>
      </c>
      <c r="AA63" s="484">
        <f t="shared" si="32"/>
        <v>201507</v>
      </c>
      <c r="AB63" s="484">
        <f t="shared" si="32"/>
        <v>201508</v>
      </c>
      <c r="AC63" s="484">
        <f t="shared" si="32"/>
        <v>201509</v>
      </c>
      <c r="AD63" s="484">
        <f t="shared" si="32"/>
        <v>201510</v>
      </c>
      <c r="AE63" s="484">
        <f t="shared" si="32"/>
        <v>201511</v>
      </c>
      <c r="AF63" s="484">
        <f t="shared" si="32"/>
        <v>201512</v>
      </c>
    </row>
    <row r="64" spans="1:33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</row>
    <row r="65" spans="1:39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</row>
    <row r="66" spans="1:39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</row>
    <row r="67" spans="1:39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H67" s="707" t="s">
        <v>330</v>
      </c>
      <c r="AI67" s="708"/>
      <c r="AJ67" s="708"/>
      <c r="AK67" s="708"/>
      <c r="AL67" s="708"/>
      <c r="AM67" s="708"/>
    </row>
    <row r="68" spans="1:39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H68" s="708"/>
      <c r="AI68" s="708"/>
      <c r="AJ68" s="708"/>
      <c r="AK68" s="708"/>
      <c r="AL68" s="708"/>
      <c r="AM68" s="708"/>
    </row>
    <row r="69" spans="1:39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H69" s="708"/>
      <c r="AI69" s="708"/>
      <c r="AJ69" s="708"/>
      <c r="AK69" s="708"/>
      <c r="AL69" s="708"/>
      <c r="AM69" s="708"/>
    </row>
    <row r="70" spans="1:39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H70" s="708"/>
      <c r="AI70" s="708"/>
      <c r="AJ70" s="708"/>
      <c r="AK70" s="708"/>
      <c r="AL70" s="708"/>
      <c r="AM70" s="708"/>
    </row>
    <row r="71" spans="1:39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H71" s="708"/>
      <c r="AI71" s="708"/>
      <c r="AJ71" s="708"/>
      <c r="AK71" s="708"/>
      <c r="AL71" s="708"/>
      <c r="AM71" s="708"/>
    </row>
    <row r="72" spans="1:39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H72" s="708"/>
      <c r="AI72" s="708"/>
      <c r="AJ72" s="708"/>
      <c r="AK72" s="708"/>
      <c r="AL72" s="708"/>
      <c r="AM72" s="708"/>
    </row>
    <row r="73" spans="1:39" s="483" customFormat="1" ht="16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33">U73+1</f>
        <v>201502</v>
      </c>
      <c r="W73" s="484">
        <f t="shared" si="33"/>
        <v>201503</v>
      </c>
      <c r="X73" s="484">
        <f t="shared" si="33"/>
        <v>201504</v>
      </c>
      <c r="Y73" s="484">
        <f t="shared" si="33"/>
        <v>201505</v>
      </c>
      <c r="Z73" s="484">
        <f t="shared" si="33"/>
        <v>201506</v>
      </c>
      <c r="AA73" s="484">
        <f t="shared" si="33"/>
        <v>201507</v>
      </c>
      <c r="AB73" s="484">
        <f t="shared" si="33"/>
        <v>201508</v>
      </c>
      <c r="AC73" s="484">
        <f t="shared" si="33"/>
        <v>201509</v>
      </c>
      <c r="AD73" s="484">
        <f t="shared" si="33"/>
        <v>201510</v>
      </c>
      <c r="AE73" s="484">
        <f t="shared" si="33"/>
        <v>201511</v>
      </c>
      <c r="AF73" s="484">
        <f t="shared" si="33"/>
        <v>201512</v>
      </c>
      <c r="AH73" s="564" t="s">
        <v>330</v>
      </c>
      <c r="AI73" s="525"/>
      <c r="AJ73" s="482"/>
      <c r="AK73" s="482"/>
      <c r="AL73" s="482"/>
      <c r="AM73" s="482"/>
    </row>
    <row r="74" spans="1:39" s="483" customFormat="1" ht="16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H74" s="513">
        <f>AH4</f>
        <v>201503</v>
      </c>
      <c r="AI74" s="526"/>
      <c r="AJ74" s="514"/>
      <c r="AK74" s="514"/>
      <c r="AL74" s="523"/>
      <c r="AM74" s="515"/>
    </row>
    <row r="75" spans="1:39">
      <c r="A75" s="493"/>
      <c r="B75" s="481" t="s">
        <v>253</v>
      </c>
      <c r="E75" s="482">
        <v>-1564267.6899999997</v>
      </c>
      <c r="F75" s="482">
        <f>E79</f>
        <v>-1565571.2464083331</v>
      </c>
      <c r="G75" s="482">
        <f>F79</f>
        <v>-1478312.2029470066</v>
      </c>
      <c r="H75" s="482">
        <f>G79</f>
        <v>-1339478.1882327958</v>
      </c>
      <c r="I75" s="482">
        <v>-1135996.718859798</v>
      </c>
      <c r="J75" s="482">
        <v>-962575.67419983121</v>
      </c>
      <c r="K75" s="482">
        <v>-785906.0743522977</v>
      </c>
      <c r="L75" s="482">
        <v>-649044.54606452456</v>
      </c>
      <c r="M75" s="482">
        <v>-566646.74091115326</v>
      </c>
      <c r="N75" s="482">
        <v>-521604.79837865423</v>
      </c>
      <c r="O75" s="482">
        <v>-484025.98660976981</v>
      </c>
      <c r="P75" s="482">
        <v>-455667.85197583633</v>
      </c>
      <c r="Q75" s="482">
        <v>-425185.98752664123</v>
      </c>
      <c r="R75" s="482">
        <v>-393486.99357723846</v>
      </c>
      <c r="S75" s="482">
        <v>-328715.06273061951</v>
      </c>
      <c r="T75" s="482">
        <v>-176703.47735926168</v>
      </c>
      <c r="U75" s="482">
        <f>T79</f>
        <v>-11881.022647536076</v>
      </c>
      <c r="V75" s="482">
        <f>U79</f>
        <v>-11890.918517667358</v>
      </c>
      <c r="W75" s="482">
        <f t="shared" ref="W75:AF75" si="34">V79</f>
        <v>-11900.827616432081</v>
      </c>
      <c r="X75" s="482">
        <f t="shared" si="34"/>
        <v>-11910.744972779108</v>
      </c>
      <c r="Y75" s="482">
        <f t="shared" si="34"/>
        <v>-11920.670593589757</v>
      </c>
      <c r="Z75" s="482">
        <f t="shared" si="34"/>
        <v>-11930.604485751082</v>
      </c>
      <c r="AA75" s="482">
        <f t="shared" si="34"/>
        <v>-11940.546656155875</v>
      </c>
      <c r="AB75" s="482">
        <f t="shared" si="34"/>
        <v>-11950.497111702673</v>
      </c>
      <c r="AC75" s="482">
        <f t="shared" si="34"/>
        <v>-11960.455859295758</v>
      </c>
      <c r="AD75" s="482">
        <f t="shared" si="34"/>
        <v>-11970.422905845171</v>
      </c>
      <c r="AE75" s="482">
        <f t="shared" si="34"/>
        <v>-11980.398258266709</v>
      </c>
      <c r="AF75" s="482">
        <f t="shared" si="34"/>
        <v>-11990.381923481931</v>
      </c>
      <c r="AH75" s="497" t="s">
        <v>308</v>
      </c>
      <c r="AI75" s="527">
        <v>419600</v>
      </c>
      <c r="AJ75" s="498" t="s">
        <v>288</v>
      </c>
      <c r="AK75" s="498" t="s">
        <v>291</v>
      </c>
      <c r="AL75" s="470">
        <f>IF(SUMIF(U72:AF72,AH73,U76:AF76)&lt;0,-SUMIF(U72:AF72,AH73,U76:AF76),0)</f>
        <v>0</v>
      </c>
      <c r="AM75" s="520">
        <f>IF(SUMIF(U73:AF73,AH74,U77:AF77)&gt;0,SUMIF(U73:AF73,AH74,U77:AF77),0)</f>
        <v>0</v>
      </c>
    </row>
    <row r="76" spans="1:39">
      <c r="B76" s="481" t="s">
        <v>23</v>
      </c>
      <c r="C76" s="482">
        <f>SUM(U76:AF76)</f>
        <v>4.9799999978858978E-3</v>
      </c>
      <c r="D76" s="491">
        <f>SUM(F76:Q76)</f>
        <v>1181062.2835600001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35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H76" s="153" t="s">
        <v>309</v>
      </c>
      <c r="AI76" s="209">
        <v>431600</v>
      </c>
      <c r="AJ76" s="7" t="s">
        <v>288</v>
      </c>
      <c r="AK76" s="7" t="s">
        <v>291</v>
      </c>
      <c r="AL76" s="472">
        <f>IF(SUMIF(U73:AF73,AH74,U77:AF77)&lt;0,-SUMIF(U73:AF73,AH74,U77:AF77),0)</f>
        <v>9.9173563470267343</v>
      </c>
      <c r="AM76" s="462">
        <v>0</v>
      </c>
    </row>
    <row r="77" spans="1:39">
      <c r="B77" s="481" t="s">
        <v>4</v>
      </c>
      <c r="C77" s="482">
        <f t="shared" ref="C77:C78" si="36">SUM(U77:AF77)</f>
        <v>-119.35624088208631</v>
      </c>
      <c r="D77" s="491">
        <f>SUM(F77:Q77)</f>
        <v>-8149.5707289055363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f>(G75*(G74/12))+((G76/2)*(G74/12))</f>
        <v>-1173.2452857891722</v>
      </c>
      <c r="H77" s="489">
        <f>(H75*(H74/12))+((H76/2)*(H74/12))</f>
        <v>-1031.0182870023298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9">
        <f>((U75*(U74/12))+((U76/2)*(U74/12)))</f>
        <v>-9.9008501312800643</v>
      </c>
      <c r="V77" s="489">
        <f t="shared" ref="V77:AD77" si="37">((V75*(V74/12))+((V76/2)*(V74/12)))</f>
        <v>-9.909098764722799</v>
      </c>
      <c r="W77" s="489">
        <f t="shared" si="37"/>
        <v>-9.9173563470267343</v>
      </c>
      <c r="X77" s="489">
        <f t="shared" si="37"/>
        <v>-9.9256208106492583</v>
      </c>
      <c r="Y77" s="489">
        <f t="shared" si="37"/>
        <v>-9.933892161324799</v>
      </c>
      <c r="Z77" s="489">
        <f t="shared" si="37"/>
        <v>-9.9421704047925701</v>
      </c>
      <c r="AA77" s="489">
        <f t="shared" si="37"/>
        <v>-9.9504555467965634</v>
      </c>
      <c r="AB77" s="489">
        <f t="shared" si="37"/>
        <v>-9.9587475930855618</v>
      </c>
      <c r="AC77" s="489">
        <f t="shared" si="37"/>
        <v>-9.9670465494131317</v>
      </c>
      <c r="AD77" s="489">
        <f t="shared" si="37"/>
        <v>-9.975352421537643</v>
      </c>
      <c r="AE77" s="489">
        <f>((AE75*(AE74/12))+((AE76/2)*(AE74/12)))</f>
        <v>-9.983665215222258</v>
      </c>
      <c r="AF77" s="489">
        <f>((AF75*(AF74/12))+((AF76/2)*(AF74/12)))</f>
        <v>-9.9919849362349424</v>
      </c>
      <c r="AH77" s="153" t="s">
        <v>312</v>
      </c>
      <c r="AI77" s="209">
        <v>191015</v>
      </c>
      <c r="AJ77" s="7" t="s">
        <v>288</v>
      </c>
      <c r="AK77" s="7" t="s">
        <v>291</v>
      </c>
      <c r="AL77" s="472">
        <f>IF((SUMIF(U73:AF73,AH74,U76:AF76)+SUMIF(U73:AF73,AH74,U77:AF77))&gt;0,(SUMIF(U73:AF73,AH74,U76:AF76)+SUMIF(U73:AF73,AH74,U77:AF77)),0)</f>
        <v>0</v>
      </c>
      <c r="AM77" s="462">
        <f>IF((SUMIF(U73:AF73,AH74,U76:AF76)+SUMIF(U73:AF73,AH74,U77:AF77))&lt;0,-(SUMIF(U73:AF73,AH74,U76:AF76)+SUMIF(U73:AF73,AH74,U77:AF77)),0)</f>
        <v>9.9173563470267343</v>
      </c>
    </row>
    <row r="78" spans="1:39">
      <c r="B78" s="481" t="s">
        <v>148</v>
      </c>
      <c r="C78" s="482">
        <f t="shared" si="36"/>
        <v>0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0</v>
      </c>
      <c r="V78" s="482">
        <v>0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H78" s="499" t="s">
        <v>313</v>
      </c>
      <c r="AI78" s="528">
        <v>805111</v>
      </c>
      <c r="AJ78" s="358" t="s">
        <v>288</v>
      </c>
      <c r="AK78" s="358" t="s">
        <v>291</v>
      </c>
      <c r="AL78" s="381">
        <f>IF((SUMIF(U73:AF73,AH74,U76:AF76))&lt;0,-(SUMIF(U73:AF73,AH74,U76:AF76)),0)</f>
        <v>0</v>
      </c>
      <c r="AM78" s="500">
        <f>IF((SUMIF(U73:AF73,AH74,U76:AF76))&gt;0,(SUMIF(U73:AF73,AH74,U76:AF76)),0)</f>
        <v>0</v>
      </c>
    </row>
    <row r="79" spans="1:39" ht="16" thickBot="1">
      <c r="B79" s="481" t="s">
        <v>56</v>
      </c>
      <c r="C79" s="541"/>
      <c r="D79" s="541"/>
      <c r="E79" s="541">
        <f t="shared" ref="E79:H79" si="38">SUM(E75:E78)</f>
        <v>-1565571.2464083331</v>
      </c>
      <c r="F79" s="541">
        <f t="shared" si="38"/>
        <v>-1478312.2029470066</v>
      </c>
      <c r="G79" s="541">
        <f t="shared" si="38"/>
        <v>-1339478.1882327958</v>
      </c>
      <c r="H79" s="541">
        <f t="shared" si="38"/>
        <v>-1135996.718859798</v>
      </c>
      <c r="I79" s="541">
        <v>-962575.67419983121</v>
      </c>
      <c r="J79" s="541">
        <v>-785906.0743522977</v>
      </c>
      <c r="K79" s="541">
        <v>-649044.54606452456</v>
      </c>
      <c r="L79" s="541">
        <v>-566646.74091115326</v>
      </c>
      <c r="M79" s="541">
        <v>-521604.79837865423</v>
      </c>
      <c r="N79" s="541">
        <v>-484025.98660976981</v>
      </c>
      <c r="O79" s="541">
        <v>-455667.85197583633</v>
      </c>
      <c r="P79" s="541">
        <v>-425185.98752664123</v>
      </c>
      <c r="Q79" s="541">
        <v>-393486.99357723846</v>
      </c>
      <c r="R79" s="541">
        <v>-328715.06273061951</v>
      </c>
      <c r="S79" s="541">
        <v>-176703.47735926168</v>
      </c>
      <c r="T79" s="541">
        <v>-11881.022647536076</v>
      </c>
      <c r="U79" s="541">
        <f t="shared" ref="U79:AF79" si="39">SUM(U75:U78)</f>
        <v>-11890.918517667358</v>
      </c>
      <c r="V79" s="541">
        <f t="shared" si="39"/>
        <v>-11900.827616432081</v>
      </c>
      <c r="W79" s="541">
        <f t="shared" si="39"/>
        <v>-11910.744972779108</v>
      </c>
      <c r="X79" s="541">
        <f t="shared" si="39"/>
        <v>-11920.670593589757</v>
      </c>
      <c r="Y79" s="541">
        <f t="shared" si="39"/>
        <v>-11930.604485751082</v>
      </c>
      <c r="Z79" s="541">
        <f t="shared" si="39"/>
        <v>-11940.546656155875</v>
      </c>
      <c r="AA79" s="541">
        <f t="shared" si="39"/>
        <v>-11950.497111702673</v>
      </c>
      <c r="AB79" s="541">
        <f t="shared" si="39"/>
        <v>-11960.455859295758</v>
      </c>
      <c r="AC79" s="541">
        <f t="shared" si="39"/>
        <v>-11970.422905845171</v>
      </c>
      <c r="AD79" s="541">
        <f t="shared" si="39"/>
        <v>-11980.398258266709</v>
      </c>
      <c r="AE79" s="541">
        <f t="shared" si="39"/>
        <v>-11990.381923481931</v>
      </c>
      <c r="AF79" s="541">
        <f t="shared" si="39"/>
        <v>-12000.373908418165</v>
      </c>
      <c r="AH79" s="499" t="s">
        <v>332</v>
      </c>
      <c r="AI79" s="528">
        <v>191015</v>
      </c>
      <c r="AJ79" s="358" t="s">
        <v>288</v>
      </c>
      <c r="AK79" s="358" t="s">
        <v>291</v>
      </c>
      <c r="AL79" s="381">
        <v>0</v>
      </c>
      <c r="AM79" s="500">
        <v>0</v>
      </c>
    </row>
    <row r="80" spans="1:39" ht="16.5" thickTop="1" thickBot="1">
      <c r="B80" s="481" t="s">
        <v>260</v>
      </c>
      <c r="E80" s="482" t="e">
        <f ca="1">_xll.Get_Balance(E73,"YTD","USD","Total","A","","001",$A$73,"GD","ID","DL")</f>
        <v>#NAME?</v>
      </c>
      <c r="F80" s="482" t="e">
        <f ca="1">_xll.Get_Balance(F73,"YTD","USD","Total","A","","001",$A$73,"GD","ID","DL")</f>
        <v>#NAME?</v>
      </c>
      <c r="G80" s="482" t="e">
        <f ca="1">_xll.Get_Balance(G73,"YTD","USD","Total","A","","001",$A$73,"GD","ID","DL")</f>
        <v>#NAME?</v>
      </c>
      <c r="H80" s="482" t="e">
        <f ca="1">_xll.Get_Balance(H73,"YTD","USD","Total","A","","001",$A$73,"GD","ID","DL")</f>
        <v>#NAME?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 t="e">
        <f ca="1">_xll.Get_Balance(U73,"YTD","USD","Total","A","","001",$A$73,"GD","ID","DL")</f>
        <v>#NAME?</v>
      </c>
      <c r="V80" s="482" t="e">
        <f ca="1">_xll.Get_Balance(V73,"YTD","USD","Total","A","","001",$A$73,"GD","ID","DL")</f>
        <v>#NAME?</v>
      </c>
      <c r="W80" s="482" t="e">
        <f ca="1">_xll.Get_Balance(W73,"YTD","USD","Total","A","","001",$A$73,"GD","ID","DL")</f>
        <v>#NAME?</v>
      </c>
      <c r="X80" s="482" t="e">
        <f ca="1">_xll.Get_Balance(X73,"YTD","USD","Total","A","","001",$A$73,"GD","ID","DL")</f>
        <v>#NAME?</v>
      </c>
      <c r="Y80" s="482" t="e">
        <f ca="1">_xll.Get_Balance(Y73,"YTD","USD","Total","A","","001",$A$73,"GD","ID","DL")</f>
        <v>#NAME?</v>
      </c>
      <c r="Z80" s="482" t="e">
        <f ca="1">_xll.Get_Balance(Z73,"YTD","USD","Total","A","","001",$A$73,"GD","ID","DL")</f>
        <v>#NAME?</v>
      </c>
      <c r="AA80" s="482" t="e">
        <f ca="1">_xll.Get_Balance(AA73,"YTD","USD","Total","A","","001",$A$73,"GD","ID","DL")</f>
        <v>#NAME?</v>
      </c>
      <c r="AB80" s="482" t="e">
        <f ca="1">_xll.Get_Balance(AB73,"YTD","USD","Total","A","","001",$A$73,"GD","ID","DL")</f>
        <v>#NAME?</v>
      </c>
      <c r="AC80" s="482" t="e">
        <f ca="1">_xll.Get_Balance(AC73,"YTD","USD","Total","A","","001",$A$73,"GD","ID","DL")</f>
        <v>#NAME?</v>
      </c>
      <c r="AD80" s="482" t="e">
        <f ca="1">_xll.Get_Balance(AD73,"YTD","USD","Total","A","","001",$A$73,"GD","ID","DL")</f>
        <v>#NAME?</v>
      </c>
      <c r="AE80" s="482" t="e">
        <f ca="1">_xll.Get_Balance(AE73,"YTD","USD","Total","A","","001",$A$73,"GD","ID","DL")</f>
        <v>#NAME?</v>
      </c>
      <c r="AF80" s="482" t="e">
        <f ca="1">_xll.Get_Balance(AF73,"YTD","USD","Total","A","","001",$A$73,"GD","ID","DL")</f>
        <v>#NAME?</v>
      </c>
      <c r="AH80" s="501" t="s">
        <v>332</v>
      </c>
      <c r="AI80" s="529">
        <v>431600</v>
      </c>
      <c r="AJ80" s="502" t="s">
        <v>288</v>
      </c>
      <c r="AK80" s="502" t="s">
        <v>291</v>
      </c>
      <c r="AL80" s="464">
        <v>0</v>
      </c>
      <c r="AM80" s="521">
        <v>0</v>
      </c>
    </row>
    <row r="81" spans="2:39" ht="16" thickBot="1">
      <c r="B81" s="481" t="s">
        <v>245</v>
      </c>
      <c r="E81" s="482" t="e">
        <f t="shared" ref="E81:H81" ca="1" si="40">E79-E80</f>
        <v>#NAME?</v>
      </c>
      <c r="F81" s="482" t="e">
        <f t="shared" ca="1" si="40"/>
        <v>#NAME?</v>
      </c>
      <c r="G81" s="482" t="e">
        <f t="shared" ca="1" si="40"/>
        <v>#NAME?</v>
      </c>
      <c r="H81" s="482" t="e">
        <f t="shared" ca="1" si="40"/>
        <v>#NAME?</v>
      </c>
      <c r="I81" s="482">
        <v>0.70580016879830509</v>
      </c>
      <c r="J81" s="482">
        <v>0.70564770232886076</v>
      </c>
      <c r="K81" s="482">
        <v>0.70393547543790191</v>
      </c>
      <c r="L81" s="482">
        <v>0.69908884668257087</v>
      </c>
      <c r="M81" s="482">
        <v>0.701621345768217</v>
      </c>
      <c r="N81" s="482">
        <v>0.70339023019187152</v>
      </c>
      <c r="O81" s="482">
        <v>0.70802416367223486</v>
      </c>
      <c r="P81" s="482">
        <v>0.7124733587843366</v>
      </c>
      <c r="Q81" s="482">
        <v>0.71642276155762374</v>
      </c>
      <c r="R81" s="482">
        <v>0.71726938051870093</v>
      </c>
      <c r="S81" s="482">
        <v>0.71264073831844144</v>
      </c>
      <c r="T81" s="482">
        <v>0.71735246392381669</v>
      </c>
      <c r="U81" s="482" t="e">
        <f t="shared" ref="U81:AF81" ca="1" si="41">U79-U80</f>
        <v>#NAME?</v>
      </c>
      <c r="V81" s="482" t="e">
        <f t="shared" ca="1" si="41"/>
        <v>#NAME?</v>
      </c>
      <c r="W81" s="482" t="e">
        <f t="shared" ca="1" si="41"/>
        <v>#NAME?</v>
      </c>
      <c r="X81" s="482" t="e">
        <f t="shared" ca="1" si="41"/>
        <v>#NAME?</v>
      </c>
      <c r="Y81" s="482" t="e">
        <f t="shared" ca="1" si="41"/>
        <v>#NAME?</v>
      </c>
      <c r="Z81" s="482" t="e">
        <f t="shared" ca="1" si="41"/>
        <v>#NAME?</v>
      </c>
      <c r="AA81" s="482" t="e">
        <f t="shared" ca="1" si="41"/>
        <v>#NAME?</v>
      </c>
      <c r="AB81" s="482" t="e">
        <f t="shared" ca="1" si="41"/>
        <v>#NAME?</v>
      </c>
      <c r="AC81" s="482" t="e">
        <f t="shared" ca="1" si="41"/>
        <v>#NAME?</v>
      </c>
      <c r="AD81" s="482" t="e">
        <f t="shared" ca="1" si="41"/>
        <v>#NAME?</v>
      </c>
      <c r="AE81" s="482" t="e">
        <f t="shared" ca="1" si="41"/>
        <v>#NAME?</v>
      </c>
      <c r="AF81" s="482" t="e">
        <f t="shared" ca="1" si="41"/>
        <v>#NAME?</v>
      </c>
      <c r="AH81" s="516"/>
      <c r="AI81" s="530"/>
      <c r="AJ81" s="517"/>
      <c r="AK81" s="517"/>
      <c r="AL81" s="517" t="s">
        <v>159</v>
      </c>
      <c r="AM81" s="518">
        <f>SUM(AL75:AL80)-SUM(AM75:AM80)</f>
        <v>0</v>
      </c>
    </row>
    <row r="84" spans="2:39">
      <c r="AH84" s="707" t="s">
        <v>331</v>
      </c>
      <c r="AI84" s="708"/>
      <c r="AJ84" s="708"/>
      <c r="AK84" s="708"/>
      <c r="AL84" s="708"/>
      <c r="AM84" s="708"/>
    </row>
    <row r="85" spans="2:39">
      <c r="AH85" s="708"/>
      <c r="AI85" s="708"/>
      <c r="AJ85" s="708"/>
      <c r="AK85" s="708"/>
      <c r="AL85" s="708"/>
      <c r="AM85" s="708"/>
    </row>
    <row r="86" spans="2:39">
      <c r="AH86" s="708"/>
      <c r="AI86" s="708"/>
      <c r="AJ86" s="708"/>
      <c r="AK86" s="708"/>
      <c r="AL86" s="708"/>
      <c r="AM86" s="708"/>
    </row>
    <row r="87" spans="2:39">
      <c r="AH87" s="708"/>
      <c r="AI87" s="708"/>
      <c r="AJ87" s="708"/>
      <c r="AK87" s="708"/>
      <c r="AL87" s="708"/>
      <c r="AM87" s="708"/>
    </row>
    <row r="88" spans="2:39">
      <c r="AH88" s="708"/>
      <c r="AI88" s="708"/>
      <c r="AJ88" s="708"/>
      <c r="AK88" s="708"/>
      <c r="AL88" s="708"/>
      <c r="AM88" s="708"/>
    </row>
    <row r="89" spans="2:39">
      <c r="AH89" s="708"/>
      <c r="AI89" s="708"/>
      <c r="AJ89" s="708"/>
      <c r="AK89" s="708"/>
      <c r="AL89" s="708"/>
      <c r="AM89" s="708"/>
    </row>
    <row r="90" spans="2:39">
      <c r="AH90" s="570" t="s">
        <v>308</v>
      </c>
      <c r="AI90" s="571">
        <v>419600</v>
      </c>
      <c r="AJ90" s="572" t="s">
        <v>288</v>
      </c>
      <c r="AK90" s="572" t="s">
        <v>291</v>
      </c>
      <c r="AL90" s="573"/>
      <c r="AM90" s="574">
        <v>63.29</v>
      </c>
    </row>
    <row r="91" spans="2:39">
      <c r="M91" s="482">
        <v>13246436.58</v>
      </c>
      <c r="Y91" s="482" t="e">
        <f ca="1">_xll.GLW_Get_Balance("201409","YTD","USD","Total","A",,"001","808100","%","%","DL")</f>
        <v>#NAME?</v>
      </c>
      <c r="AH91" s="575" t="s">
        <v>312</v>
      </c>
      <c r="AI91" s="209">
        <v>191015</v>
      </c>
      <c r="AJ91" s="7" t="s">
        <v>288</v>
      </c>
      <c r="AK91" s="7" t="s">
        <v>291</v>
      </c>
      <c r="AL91" s="576">
        <v>175730.52</v>
      </c>
      <c r="AM91" s="577"/>
    </row>
    <row r="92" spans="2:39">
      <c r="AH92" s="578" t="s">
        <v>313</v>
      </c>
      <c r="AI92" s="579">
        <v>805111</v>
      </c>
      <c r="AJ92" s="580" t="s">
        <v>288</v>
      </c>
      <c r="AK92" s="580" t="s">
        <v>291</v>
      </c>
      <c r="AL92" s="581"/>
      <c r="AM92" s="582">
        <v>175667.22</v>
      </c>
    </row>
  </sheetData>
  <mergeCells count="2">
    <mergeCell ref="AH67:AM72"/>
    <mergeCell ref="AH84:AM89"/>
  </mergeCells>
  <conditionalFormatting sqref="E28">
    <cfRule type="cellIs" dxfId="198" priority="26" operator="notEqual">
      <formula>E27</formula>
    </cfRule>
  </conditionalFormatting>
  <conditionalFormatting sqref="F28">
    <cfRule type="cellIs" dxfId="197" priority="25" operator="notEqual">
      <formula>F27</formula>
    </cfRule>
  </conditionalFormatting>
  <conditionalFormatting sqref="G28">
    <cfRule type="cellIs" dxfId="196" priority="24" operator="notEqual">
      <formula>G27</formula>
    </cfRule>
  </conditionalFormatting>
  <conditionalFormatting sqref="H28">
    <cfRule type="cellIs" dxfId="195" priority="23" operator="notEqual">
      <formula>H27</formula>
    </cfRule>
  </conditionalFormatting>
  <conditionalFormatting sqref="C28">
    <cfRule type="cellIs" dxfId="194" priority="22" operator="notEqual">
      <formula>C27</formula>
    </cfRule>
  </conditionalFormatting>
  <conditionalFormatting sqref="F61">
    <cfRule type="cellIs" dxfId="193" priority="21" operator="notEqual">
      <formula>F60</formula>
    </cfRule>
  </conditionalFormatting>
  <conditionalFormatting sqref="G61">
    <cfRule type="cellIs" dxfId="192" priority="20" operator="notEqual">
      <formula>G60</formula>
    </cfRule>
  </conditionalFormatting>
  <conditionalFormatting sqref="H61">
    <cfRule type="cellIs" dxfId="191" priority="19" operator="notEqual">
      <formula>H60</formula>
    </cfRule>
  </conditionalFormatting>
  <conditionalFormatting sqref="C61">
    <cfRule type="cellIs" dxfId="190" priority="18" operator="notEqual">
      <formula>C60</formula>
    </cfRule>
  </conditionalFormatting>
  <conditionalFormatting sqref="I61">
    <cfRule type="cellIs" dxfId="189" priority="17" operator="notEqual">
      <formula>I60</formula>
    </cfRule>
  </conditionalFormatting>
  <conditionalFormatting sqref="AM81 AM48 AM11">
    <cfRule type="cellIs" dxfId="188" priority="16" operator="notEqual">
      <formula>0</formula>
    </cfRule>
  </conditionalFormatting>
  <conditionalFormatting sqref="I28">
    <cfRule type="cellIs" dxfId="187" priority="15" operator="notEqual">
      <formula>I27</formula>
    </cfRule>
  </conditionalFormatting>
  <conditionalFormatting sqref="J28">
    <cfRule type="cellIs" dxfId="186" priority="14" operator="notEqual">
      <formula>J27</formula>
    </cfRule>
  </conditionalFormatting>
  <conditionalFormatting sqref="J61">
    <cfRule type="cellIs" dxfId="185" priority="13" operator="notEqual">
      <formula>J60</formula>
    </cfRule>
  </conditionalFormatting>
  <conditionalFormatting sqref="K28">
    <cfRule type="cellIs" dxfId="184" priority="12" operator="notEqual">
      <formula>K27</formula>
    </cfRule>
  </conditionalFormatting>
  <conditionalFormatting sqref="K61">
    <cfRule type="cellIs" dxfId="183" priority="11" operator="notEqual">
      <formula>K60</formula>
    </cfRule>
  </conditionalFormatting>
  <conditionalFormatting sqref="L28:M28">
    <cfRule type="cellIs" dxfId="182" priority="10" operator="notEqual">
      <formula>L27</formula>
    </cfRule>
  </conditionalFormatting>
  <conditionalFormatting sqref="N28">
    <cfRule type="cellIs" dxfId="181" priority="9" operator="notEqual">
      <formula>N27</formula>
    </cfRule>
  </conditionalFormatting>
  <conditionalFormatting sqref="U61">
    <cfRule type="cellIs" dxfId="180" priority="8" operator="notEqual">
      <formula>U60</formula>
    </cfRule>
  </conditionalFormatting>
  <conditionalFormatting sqref="U28:V28">
    <cfRule type="cellIs" dxfId="179" priority="7" operator="notEqual">
      <formula>U27</formula>
    </cfRule>
  </conditionalFormatting>
  <conditionalFormatting sqref="V28">
    <cfRule type="cellIs" dxfId="178" priority="6" operator="notEqual">
      <formula>V27</formula>
    </cfRule>
  </conditionalFormatting>
  <conditionalFormatting sqref="V61">
    <cfRule type="cellIs" dxfId="177" priority="5" operator="notEqual">
      <formula>V60</formula>
    </cfRule>
  </conditionalFormatting>
  <conditionalFormatting sqref="W28">
    <cfRule type="cellIs" dxfId="176" priority="4" operator="notEqual">
      <formula>W27</formula>
    </cfRule>
  </conditionalFormatting>
  <conditionalFormatting sqref="W61">
    <cfRule type="cellIs" dxfId="175" priority="3" operator="notEqual">
      <formula>W60</formula>
    </cfRule>
  </conditionalFormatting>
  <conditionalFormatting sqref="X28:Y28">
    <cfRule type="cellIs" dxfId="174" priority="2" operator="notEqual">
      <formula>X27</formula>
    </cfRule>
  </conditionalFormatting>
  <conditionalFormatting sqref="Z28">
    <cfRule type="cellIs" dxfId="173" priority="1" operator="notEqual">
      <formula>Z27</formula>
    </cfRule>
  </conditionalFormatting>
  <pageMargins left="0" right="0" top="0.75" bottom="0.75" header="0.3" footer="0.3"/>
  <pageSetup scale="46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H56"/>
  <sheetViews>
    <sheetView zoomScale="85" zoomScaleNormal="85" workbookViewId="0">
      <selection activeCell="C20" sqref="C20"/>
    </sheetView>
  </sheetViews>
  <sheetFormatPr defaultRowHeight="13"/>
  <cols>
    <col min="1" max="1" width="18.69921875" bestFit="1" customWidth="1"/>
    <col min="2" max="14" width="9.8984375" customWidth="1"/>
    <col min="16" max="16" width="2.3984375" customWidth="1"/>
    <col min="17" max="23" width="10.69921875" customWidth="1"/>
    <col min="24" max="24" width="5.69921875" customWidth="1"/>
  </cols>
  <sheetData>
    <row r="1" spans="1:34">
      <c r="C1" s="698" t="s">
        <v>193</v>
      </c>
      <c r="D1" s="698"/>
      <c r="E1" s="698"/>
      <c r="F1" s="698"/>
      <c r="G1" s="698"/>
      <c r="H1" s="698"/>
      <c r="I1" s="698"/>
      <c r="J1" s="698"/>
      <c r="K1" s="698"/>
      <c r="P1" s="700"/>
      <c r="Q1" s="700"/>
      <c r="R1" s="700"/>
      <c r="S1" s="700"/>
      <c r="T1" s="700"/>
      <c r="U1" s="700"/>
      <c r="V1" s="700"/>
      <c r="W1" s="700"/>
      <c r="X1" s="700"/>
    </row>
    <row r="2" spans="1:34" ht="25.5">
      <c r="C2" s="699" t="s">
        <v>319</v>
      </c>
      <c r="D2" s="699"/>
      <c r="E2" s="699"/>
      <c r="F2" s="699"/>
      <c r="G2" s="699"/>
      <c r="H2" s="699"/>
      <c r="I2" s="699"/>
      <c r="J2" s="699"/>
      <c r="K2" s="699"/>
      <c r="P2" s="698"/>
      <c r="Q2" s="698"/>
      <c r="R2" s="698"/>
      <c r="S2" s="698"/>
      <c r="T2" s="698"/>
      <c r="U2" s="698"/>
      <c r="V2" s="698"/>
      <c r="W2" s="698"/>
      <c r="X2" s="698"/>
      <c r="Z2" s="698"/>
      <c r="AA2" s="698"/>
      <c r="AB2" s="698"/>
      <c r="AC2" s="698"/>
      <c r="AD2" s="698"/>
      <c r="AE2" s="698"/>
      <c r="AF2" s="698"/>
      <c r="AG2" s="698"/>
      <c r="AH2" s="698"/>
    </row>
    <row r="3" spans="1:34" ht="25.5">
      <c r="C3" s="698" t="s">
        <v>195</v>
      </c>
      <c r="D3" s="698"/>
      <c r="E3" s="698"/>
      <c r="F3" s="698"/>
      <c r="G3" s="698"/>
      <c r="H3" s="698"/>
      <c r="I3" s="698"/>
      <c r="J3" s="698"/>
      <c r="K3" s="698"/>
      <c r="P3" s="699"/>
      <c r="Q3" s="699"/>
      <c r="R3" s="699"/>
      <c r="S3" s="699"/>
      <c r="T3" s="699"/>
      <c r="U3" s="699"/>
      <c r="V3" s="699"/>
      <c r="W3" s="699"/>
      <c r="X3" s="699"/>
      <c r="Z3" s="701"/>
      <c r="AA3" s="701"/>
      <c r="AB3" s="701"/>
      <c r="AC3" s="701"/>
      <c r="AD3" s="701"/>
      <c r="AE3" s="701"/>
      <c r="AF3" s="701"/>
      <c r="AG3" s="701"/>
      <c r="AH3" s="701"/>
    </row>
    <row r="4" spans="1:34">
      <c r="A4" t="s">
        <v>194</v>
      </c>
      <c r="B4" s="268">
        <v>41548</v>
      </c>
      <c r="C4" s="268">
        <f>EOMONTH(B4,1)</f>
        <v>41608</v>
      </c>
      <c r="D4" s="268">
        <f t="shared" ref="D4:N4" si="0">EOMONTH(C4,1)</f>
        <v>41639</v>
      </c>
      <c r="E4" s="268">
        <f t="shared" si="0"/>
        <v>41670</v>
      </c>
      <c r="F4" s="268">
        <f t="shared" si="0"/>
        <v>41698</v>
      </c>
      <c r="G4" s="268">
        <f t="shared" si="0"/>
        <v>41729</v>
      </c>
      <c r="H4" s="268">
        <f t="shared" si="0"/>
        <v>41759</v>
      </c>
      <c r="I4" s="268">
        <f t="shared" si="0"/>
        <v>41790</v>
      </c>
      <c r="J4" s="268">
        <f t="shared" si="0"/>
        <v>41820</v>
      </c>
      <c r="K4" s="268">
        <f t="shared" si="0"/>
        <v>41851</v>
      </c>
      <c r="L4" s="268">
        <f t="shared" si="0"/>
        <v>41882</v>
      </c>
      <c r="M4" s="268">
        <f t="shared" si="0"/>
        <v>41912</v>
      </c>
      <c r="N4" s="268">
        <f t="shared" si="0"/>
        <v>41943</v>
      </c>
      <c r="P4" s="698"/>
      <c r="Q4" s="698"/>
      <c r="R4" s="698"/>
      <c r="S4" s="698"/>
      <c r="T4" s="698"/>
      <c r="U4" s="698"/>
      <c r="V4" s="698"/>
      <c r="W4" s="698"/>
      <c r="X4" s="698"/>
      <c r="Z4" s="698"/>
      <c r="AA4" s="698"/>
      <c r="AB4" s="698"/>
      <c r="AC4" s="698"/>
      <c r="AD4" s="698"/>
      <c r="AE4" s="698"/>
      <c r="AF4" s="698"/>
      <c r="AG4" s="698"/>
    </row>
    <row r="6" spans="1:34">
      <c r="A6" s="269" t="s">
        <v>318</v>
      </c>
    </row>
    <row r="7" spans="1:34">
      <c r="A7" s="270"/>
      <c r="B7" s="271" t="str">
        <f t="shared" ref="B7:N7" si="1">TEXT(B4,"mmmmm-YY")</f>
        <v>O-13</v>
      </c>
      <c r="C7" s="271" t="str">
        <f t="shared" si="1"/>
        <v>N-13</v>
      </c>
      <c r="D7" s="550" t="str">
        <f t="shared" si="1"/>
        <v>D-13</v>
      </c>
      <c r="E7" s="271" t="str">
        <f t="shared" si="1"/>
        <v>J-14</v>
      </c>
      <c r="F7" s="271" t="str">
        <f t="shared" si="1"/>
        <v>F-14</v>
      </c>
      <c r="G7" s="550" t="str">
        <f t="shared" si="1"/>
        <v>M-14</v>
      </c>
      <c r="H7" s="550" t="str">
        <f t="shared" si="1"/>
        <v>A-14</v>
      </c>
      <c r="I7" s="550" t="str">
        <f t="shared" si="1"/>
        <v>M-14</v>
      </c>
      <c r="J7" s="550" t="str">
        <f t="shared" si="1"/>
        <v>J-14</v>
      </c>
      <c r="K7" s="550" t="str">
        <f t="shared" si="1"/>
        <v>J-14</v>
      </c>
      <c r="L7" s="550" t="str">
        <f t="shared" si="1"/>
        <v>A-14</v>
      </c>
      <c r="M7" s="550" t="str">
        <f t="shared" si="1"/>
        <v>S-14</v>
      </c>
      <c r="N7" s="550" t="str">
        <f t="shared" si="1"/>
        <v>O-14</v>
      </c>
    </row>
    <row r="8" spans="1:34">
      <c r="A8" s="549" t="s">
        <v>321</v>
      </c>
      <c r="B8" s="545">
        <f>0.33052*10</f>
        <v>3.3051999999999997</v>
      </c>
      <c r="C8" s="545">
        <v>3.6246661221178802</v>
      </c>
      <c r="D8" s="545">
        <v>3.6234780920677898</v>
      </c>
      <c r="E8" s="545">
        <f>-Jan!$H$51/Jan!$G$44*10</f>
        <v>3.8497000000000003</v>
      </c>
      <c r="F8" s="545">
        <f>-Feb!$H$51/Feb!$G$44*10</f>
        <v>3.8496999999999999</v>
      </c>
      <c r="G8" s="545">
        <f>-Mar!$H$51/Mar!$G$44*10</f>
        <v>3.8496999999999999</v>
      </c>
      <c r="H8" s="545">
        <f>-Mar!$H$51/Mar!$G$44*10</f>
        <v>3.8496999999999999</v>
      </c>
      <c r="I8" s="545">
        <f>-Mar!$H$51/Mar!$G$44*10</f>
        <v>3.8496999999999999</v>
      </c>
      <c r="J8" s="545">
        <f>-Mar!$H$51/Mar!$G$44*10</f>
        <v>3.8496999999999999</v>
      </c>
      <c r="K8" s="545">
        <f>-Mar!$H$51/Mar!$G$44*10</f>
        <v>3.8496999999999999</v>
      </c>
      <c r="L8" s="545">
        <f>-Mar!$H$51/Mar!$G$44*10</f>
        <v>3.8496999999999999</v>
      </c>
      <c r="M8" s="545">
        <f>-Mar!$H$51/Mar!$G$44*10</f>
        <v>3.8496999999999999</v>
      </c>
      <c r="N8" s="545">
        <f>-Mar!$H$51/Mar!$G$44*10</f>
        <v>3.8496999999999999</v>
      </c>
    </row>
    <row r="9" spans="1:34" s="549" customFormat="1">
      <c r="A9" t="s">
        <v>322</v>
      </c>
      <c r="B9" s="545">
        <f>N9</f>
        <v>3.5167999999999999</v>
      </c>
      <c r="C9" s="545">
        <v>3.8812999999999995</v>
      </c>
      <c r="D9" s="545">
        <v>3.6348000000000003</v>
      </c>
      <c r="E9" s="545">
        <v>3.6143999999999998</v>
      </c>
      <c r="F9" s="545">
        <v>3.6770000000000005</v>
      </c>
      <c r="G9" s="545">
        <v>3.9145000000000003</v>
      </c>
      <c r="H9" s="545">
        <v>3.3395999999999999</v>
      </c>
      <c r="I9" s="545">
        <v>3.3895</v>
      </c>
      <c r="J9" s="545">
        <v>3.3272000000000004</v>
      </c>
      <c r="K9" s="545">
        <v>3.3701999999999996</v>
      </c>
      <c r="L9" s="545">
        <v>3.3369</v>
      </c>
      <c r="M9" s="545">
        <v>3.3742000000000001</v>
      </c>
      <c r="N9" s="545">
        <v>3.5167999999999999</v>
      </c>
    </row>
    <row r="10" spans="1:34">
      <c r="A10" t="s">
        <v>320</v>
      </c>
      <c r="B10" s="545">
        <f>0.278008560641104*10</f>
        <v>2.7800856064110402</v>
      </c>
      <c r="C10" s="545">
        <v>3.4540440792083</v>
      </c>
      <c r="D10" s="545">
        <v>3.1876161555634601</v>
      </c>
      <c r="E10" s="545">
        <f>Jan!$K$14/Jan!$G$44*10</f>
        <v>4.1065937418059537</v>
      </c>
      <c r="F10" s="545" t="e">
        <f>Feb!$K$14/Feb!$G$44*10</f>
        <v>#REF!</v>
      </c>
      <c r="G10" s="545">
        <f>Mar!$K$14/Mar!$G$44*10</f>
        <v>4.6062740653608811</v>
      </c>
      <c r="H10" s="545"/>
      <c r="I10" s="545"/>
      <c r="J10" s="545"/>
      <c r="K10" s="545"/>
      <c r="L10" s="545"/>
      <c r="M10" s="545"/>
      <c r="N10" s="545"/>
    </row>
    <row r="11" spans="1:34">
      <c r="A11" s="549" t="s">
        <v>321</v>
      </c>
      <c r="B11" s="545">
        <f>0.0865086772229614*10</f>
        <v>0.86508677222961405</v>
      </c>
      <c r="C11" s="545">
        <v>0.98017103319810395</v>
      </c>
      <c r="D11" s="545">
        <v>0.99766447491792298</v>
      </c>
      <c r="E11" s="545">
        <f>(-Jan!$I$51/Jan!$G$32)*10</f>
        <v>1.0437102675509169</v>
      </c>
      <c r="F11" s="545">
        <f>-Feb!$I$51/Feb!$G$32*10</f>
        <v>1.023500428077627</v>
      </c>
      <c r="G11" s="545">
        <f>-Mar!$I$51/Mar!$G$32*10</f>
        <v>0.99615592545618648</v>
      </c>
      <c r="H11" s="545"/>
      <c r="I11" s="545"/>
      <c r="J11" s="545"/>
      <c r="K11" s="545"/>
      <c r="L11" s="545"/>
      <c r="M11" s="545"/>
      <c r="N11" s="545"/>
    </row>
    <row r="12" spans="1:34" s="549" customFormat="1">
      <c r="A12" s="549" t="s">
        <v>322</v>
      </c>
      <c r="B12" s="545">
        <f>N12</f>
        <v>1.4529330378220591</v>
      </c>
      <c r="C12" s="545">
        <v>0.79431349782690841</v>
      </c>
      <c r="D12" s="545">
        <v>0.60296290558547094</v>
      </c>
      <c r="E12" s="545">
        <v>0.60895264158951812</v>
      </c>
      <c r="F12" s="545">
        <v>0.60656225946654285</v>
      </c>
      <c r="G12" s="545">
        <v>0.87532504655494603</v>
      </c>
      <c r="H12" s="545">
        <v>1.1232232940560019</v>
      </c>
      <c r="I12" s="545">
        <v>2.0020366178222502</v>
      </c>
      <c r="J12" s="545">
        <v>2.9050208439006555</v>
      </c>
      <c r="K12" s="545">
        <v>3.9176133126746118</v>
      </c>
      <c r="L12" s="545">
        <v>3.8752231593583324</v>
      </c>
      <c r="M12" s="545">
        <v>3.4387986026867114</v>
      </c>
      <c r="N12" s="545">
        <v>1.4529330378220591</v>
      </c>
    </row>
    <row r="13" spans="1:34">
      <c r="A13" s="549" t="s">
        <v>320</v>
      </c>
      <c r="B13" s="545">
        <f>0.102504522593617*10</f>
        <v>1.02504522593617</v>
      </c>
      <c r="C13" s="545">
        <v>0.65827334268652904</v>
      </c>
      <c r="D13" s="545">
        <v>0.51365176254981604</v>
      </c>
      <c r="E13" s="545">
        <f>(Jan!$I$14/Jan!$G$32)*10</f>
        <v>0.50997136882436167</v>
      </c>
      <c r="F13" s="545">
        <f>(Feb!$I$14/Feb!$G$32)*10</f>
        <v>0.69427982301528135</v>
      </c>
      <c r="G13" s="545">
        <f>(Mar!$I$14/Mar!$G$32)*10</f>
        <v>0.92753318704594745</v>
      </c>
      <c r="H13" s="545"/>
      <c r="I13" s="545"/>
      <c r="J13" s="545"/>
      <c r="K13" s="545"/>
      <c r="L13" s="545"/>
      <c r="M13" s="545"/>
      <c r="N13" s="545"/>
    </row>
    <row r="15" spans="1:34">
      <c r="A15" s="269" t="s">
        <v>317</v>
      </c>
    </row>
    <row r="16" spans="1:34">
      <c r="A16" s="270"/>
      <c r="B16" s="547" t="str">
        <f>TEXT(B4,"mmmmm-YY")</f>
        <v>O-13</v>
      </c>
      <c r="C16" s="548" t="str">
        <f t="shared" ref="C16:N16" si="2">TEXT(C4,"mmmmm-YY")</f>
        <v>N-13</v>
      </c>
      <c r="D16" s="271" t="str">
        <f t="shared" si="2"/>
        <v>D-13</v>
      </c>
      <c r="E16" s="271" t="str">
        <f t="shared" si="2"/>
        <v>J-14</v>
      </c>
      <c r="F16" s="271" t="str">
        <f t="shared" si="2"/>
        <v>F-14</v>
      </c>
      <c r="G16" s="271" t="str">
        <f t="shared" si="2"/>
        <v>M-14</v>
      </c>
      <c r="H16" s="271" t="str">
        <f t="shared" si="2"/>
        <v>A-14</v>
      </c>
      <c r="I16" s="271" t="str">
        <f t="shared" si="2"/>
        <v>M-14</v>
      </c>
      <c r="J16" s="271" t="str">
        <f t="shared" si="2"/>
        <v>J-14</v>
      </c>
      <c r="K16" s="271" t="str">
        <f t="shared" si="2"/>
        <v>J-14</v>
      </c>
      <c r="L16" s="271" t="str">
        <f t="shared" si="2"/>
        <v>A-14</v>
      </c>
      <c r="M16" s="271" t="str">
        <f t="shared" si="2"/>
        <v>S-14</v>
      </c>
      <c r="N16" s="271" t="str">
        <f t="shared" si="2"/>
        <v>O-14</v>
      </c>
    </row>
    <row r="17" spans="1:20">
      <c r="A17" s="549" t="s">
        <v>321</v>
      </c>
      <c r="B17" s="545">
        <v>3.7138086914005299</v>
      </c>
      <c r="C17" s="545">
        <v>3.71000032320786</v>
      </c>
      <c r="D17" s="545">
        <v>3.7124000000000001</v>
      </c>
      <c r="E17" s="545">
        <f>-Jan!$J$51/Jan!$K$44*10</f>
        <v>3.8272000000000013</v>
      </c>
      <c r="F17" s="545">
        <f>-Feb!$J$51/Feb!$K$44*10</f>
        <v>3.8271999999999999</v>
      </c>
      <c r="G17" s="545">
        <f>-Mar!$J$51/Mar!$K$44*10</f>
        <v>3.8271999999999995</v>
      </c>
      <c r="H17" s="545">
        <f>-Apr!$J$51/Apr!$K$44*10</f>
        <v>3.8271999999999999</v>
      </c>
      <c r="I17" s="545">
        <f>-May!$J$51/May!$K$44*10</f>
        <v>3.8271999999999999</v>
      </c>
      <c r="J17" s="545">
        <f>-Jun!$J$51/Jun!$K$44*10</f>
        <v>3.8271999999999999</v>
      </c>
      <c r="K17" s="545">
        <f>-Jul!$J$51/Jul!$K$44*10</f>
        <v>3.8271999999999999</v>
      </c>
      <c r="L17" s="545">
        <f>-Aug!$J$51/Aug!$K$44*10</f>
        <v>3.8271999999999999</v>
      </c>
      <c r="M17" s="545">
        <f>-Sep!$J$51/Sep!$K$44*10</f>
        <v>3.8271999999999999</v>
      </c>
      <c r="N17" s="545">
        <f>-Oct!$J$53/Oct!$K$44*10</f>
        <v>3.8271999999999999</v>
      </c>
    </row>
    <row r="18" spans="1:20" s="549" customFormat="1">
      <c r="A18" s="549" t="s">
        <v>322</v>
      </c>
      <c r="B18" s="545">
        <v>2.9957000000000003</v>
      </c>
      <c r="C18" s="545">
        <v>3.9822000000000002</v>
      </c>
      <c r="D18" s="545">
        <v>3.8203999999999998</v>
      </c>
      <c r="E18" s="545">
        <v>3.7982</v>
      </c>
      <c r="F18" s="545">
        <v>3.8423000000000003</v>
      </c>
      <c r="G18" s="545">
        <v>4.0292000000000003</v>
      </c>
      <c r="H18" s="545">
        <v>3.4569000000000001</v>
      </c>
      <c r="I18" s="545">
        <v>3.5224000000000002</v>
      </c>
      <c r="J18" s="545">
        <v>3.4592000000000001</v>
      </c>
      <c r="K18" s="545">
        <v>3.4888000000000003</v>
      </c>
      <c r="L18" s="545">
        <v>3.4600999999999997</v>
      </c>
      <c r="M18" s="545">
        <v>3.4959000000000002</v>
      </c>
      <c r="N18" s="545">
        <v>3.6281000000000003</v>
      </c>
    </row>
    <row r="19" spans="1:20">
      <c r="A19" s="549" t="s">
        <v>320</v>
      </c>
      <c r="B19" s="545">
        <v>2.76346512007138</v>
      </c>
      <c r="C19" s="545">
        <v>3.4542924833702302</v>
      </c>
      <c r="D19" s="545">
        <v>3.1868860970503601</v>
      </c>
      <c r="E19" s="545">
        <f>Jan!$L$14/Jan!$K$43*10</f>
        <v>4.1072618105471781</v>
      </c>
      <c r="F19" s="545" t="e">
        <f>Feb!$L$14/Feb!$K$43*10</f>
        <v>#REF!</v>
      </c>
      <c r="G19" s="545">
        <f>Mar!$L$14/Mar!$K$43*10</f>
        <v>4.6040065166384396</v>
      </c>
      <c r="H19" s="545">
        <f>Apr!$L$14/Apr!$K$43*10</f>
        <v>1.879320750604895</v>
      </c>
      <c r="I19" s="545">
        <f>May!$L$14/May!$K$43*10</f>
        <v>2.0169332339660211</v>
      </c>
      <c r="J19" s="545">
        <f>Jun!$L$14/Jun!$K$43*10</f>
        <v>-7.1252815725731172E-3</v>
      </c>
      <c r="K19" s="545">
        <f>Jul!$L$14/Jul!$K$43*10</f>
        <v>-0.10174484820784881</v>
      </c>
      <c r="L19" s="545">
        <f>Aug!$L$14/Aug!$K$43*10</f>
        <v>0.28022256216704389</v>
      </c>
      <c r="M19" s="545">
        <f>Sep!$L$14/Sep!$K$43*10</f>
        <v>8.4046327285577441E-2</v>
      </c>
      <c r="N19" s="545">
        <f>Oct!$L$14/Oct!$K$43*10</f>
        <v>1.5115777146599974</v>
      </c>
    </row>
    <row r="20" spans="1:20">
      <c r="A20" s="549" t="s">
        <v>321</v>
      </c>
      <c r="B20" s="545">
        <v>1.0742522128918399</v>
      </c>
      <c r="C20" s="545">
        <v>1.0741263842636799</v>
      </c>
      <c r="D20" s="545">
        <v>1.0744</v>
      </c>
      <c r="E20" s="545">
        <f>-Jan!$K$51/Jan!$K$29*10</f>
        <v>1.0721000000000001</v>
      </c>
      <c r="F20" s="545">
        <f>-Feb!$K$51/Feb!$K$29*10</f>
        <v>1.0720999999999998</v>
      </c>
      <c r="G20" s="545">
        <f>-Mar!$K$51/Mar!$K$29*10</f>
        <v>1.0721000000000001</v>
      </c>
      <c r="H20" s="545">
        <f>-Apr!$K$51/Apr!$K$29*10</f>
        <v>1.0721000000000001</v>
      </c>
      <c r="I20" s="545">
        <f>-May!$K$51/May!$K$29*10</f>
        <v>1.0721000000000001</v>
      </c>
      <c r="J20" s="545">
        <f>-Jun!$K$51/Jun!$K$29*10</f>
        <v>1.0721000000000001</v>
      </c>
      <c r="K20" s="545">
        <f>-Jul!$K$51/Jul!$K$29*10</f>
        <v>1.0720999999999998</v>
      </c>
      <c r="L20" s="545">
        <f>-Aug!$K$51/Aug!$K$29*10</f>
        <v>1.0721000000000001</v>
      </c>
      <c r="M20" s="545">
        <f>-Sep!$K$51/Sep!$K$29*10</f>
        <v>1.0721000000000001</v>
      </c>
      <c r="N20" s="545">
        <f>-Oct!$K$53/Oct!$K$29*10</f>
        <v>1.0721000000000001</v>
      </c>
    </row>
    <row r="21" spans="1:20" s="549" customFormat="1">
      <c r="A21" s="549" t="s">
        <v>322</v>
      </c>
      <c r="B21" s="545">
        <v>1.2942886206113142</v>
      </c>
      <c r="C21" s="545">
        <v>0.74518730633512642</v>
      </c>
      <c r="D21" s="545">
        <v>0.58083452630008092</v>
      </c>
      <c r="E21" s="545">
        <v>0.60843027300764696</v>
      </c>
      <c r="F21" s="545">
        <v>0.68505702536755764</v>
      </c>
      <c r="G21" s="545">
        <v>0.81792088296424315</v>
      </c>
      <c r="H21" s="545">
        <v>1.0438035301560928</v>
      </c>
      <c r="I21" s="545">
        <v>1.8765356717896455</v>
      </c>
      <c r="J21" s="545">
        <v>2.5204558648798452</v>
      </c>
      <c r="K21" s="545">
        <v>3.0722913458699082</v>
      </c>
      <c r="L21" s="545">
        <v>3.0936566161461703</v>
      </c>
      <c r="M21" s="545">
        <v>2.484887676291045</v>
      </c>
      <c r="N21" s="545">
        <v>1.1747692347018237</v>
      </c>
    </row>
    <row r="22" spans="1:20">
      <c r="A22" s="549" t="s">
        <v>320</v>
      </c>
      <c r="B22" s="545">
        <v>1.2115295970631399</v>
      </c>
      <c r="C22" s="545">
        <v>0.708429666562987</v>
      </c>
      <c r="D22" s="545">
        <v>0.54697005486642902</v>
      </c>
      <c r="E22" s="545">
        <f>Jan!$J$14/Jan!$K$29*10</f>
        <v>0.53478578366706786</v>
      </c>
      <c r="F22" s="545">
        <f>Feb!$J$14/Feb!$K$29*10</f>
        <v>0.81366895316019194</v>
      </c>
      <c r="G22" s="545">
        <f>Mar!$J$14/Mar!$K$29*10</f>
        <v>0.95802534552983354</v>
      </c>
      <c r="H22" s="545">
        <f>Apr!$J$14/Apr!$K$29*10</f>
        <v>1.2494728445999561</v>
      </c>
      <c r="I22" s="545">
        <f>May!$J$14/May!$K$29*10</f>
        <v>2.286384069286175</v>
      </c>
      <c r="J22" s="545">
        <f>Jun!$J$14/Jun!$K$29*10</f>
        <v>3.5367119745854869</v>
      </c>
      <c r="K22" s="545">
        <f>Jul!$J$14/Jul!$K$29*10</f>
        <v>3.2746868759572134</v>
      </c>
      <c r="L22" s="545">
        <f>Aug!$J$14/Aug!$K$29*10</f>
        <v>2.9038057047974069</v>
      </c>
      <c r="M22" s="545">
        <f>Sep!$J$14/Sep!$K$29*10</f>
        <v>2.3865608408695218</v>
      </c>
      <c r="N22" s="545">
        <f>Oct!$J$14/Oct!$K$29*10</f>
        <v>1.730809951802768</v>
      </c>
    </row>
    <row r="23" spans="1:20"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S23" s="549"/>
      <c r="T23" s="549"/>
    </row>
    <row r="24" spans="1:20">
      <c r="S24" s="549"/>
      <c r="T24" s="549"/>
    </row>
    <row r="25" spans="1:20">
      <c r="S25" s="549"/>
      <c r="T25" s="549"/>
    </row>
    <row r="26" spans="1:20">
      <c r="R26" s="549"/>
      <c r="S26" s="549"/>
      <c r="T26" s="549"/>
    </row>
    <row r="27" spans="1:20">
      <c r="R27" s="549"/>
      <c r="S27" s="549"/>
      <c r="T27" s="549"/>
    </row>
    <row r="28" spans="1:20">
      <c r="R28" s="549"/>
      <c r="S28" s="549"/>
      <c r="T28" s="549"/>
    </row>
    <row r="29" spans="1:20">
      <c r="R29" s="549"/>
      <c r="S29" s="549"/>
      <c r="T29" s="549"/>
    </row>
    <row r="30" spans="1:20">
      <c r="R30" s="549"/>
      <c r="S30" s="549"/>
      <c r="T30" s="549"/>
    </row>
    <row r="31" spans="1:20">
      <c r="R31" s="549"/>
      <c r="S31" s="549"/>
      <c r="T31" s="549"/>
    </row>
    <row r="32" spans="1:20">
      <c r="R32" s="549"/>
      <c r="S32" s="549"/>
      <c r="T32" s="549"/>
    </row>
    <row r="33" spans="18:30">
      <c r="R33" s="549"/>
      <c r="S33" s="549"/>
      <c r="T33" s="549"/>
    </row>
    <row r="34" spans="18:30">
      <c r="R34" s="549"/>
      <c r="S34" s="549"/>
      <c r="T34" s="549"/>
    </row>
    <row r="35" spans="18:30">
      <c r="R35" s="549"/>
      <c r="S35" s="549"/>
      <c r="T35" s="549"/>
      <c r="U35" s="549"/>
      <c r="V35" s="549"/>
      <c r="W35" s="549"/>
      <c r="X35" s="549"/>
      <c r="Y35" s="549"/>
      <c r="Z35" s="549"/>
      <c r="AA35" s="549"/>
      <c r="AB35" s="549"/>
      <c r="AC35" s="549"/>
      <c r="AD35" s="549"/>
    </row>
    <row r="36" spans="18:30"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</row>
    <row r="37" spans="18:30"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</row>
    <row r="38" spans="18:30"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</row>
    <row r="39" spans="18:30">
      <c r="R39" s="549"/>
      <c r="S39" s="549"/>
      <c r="T39" s="549"/>
      <c r="U39" s="549"/>
      <c r="V39" s="549"/>
      <c r="W39" s="549"/>
      <c r="X39" s="549"/>
      <c r="Y39" s="549"/>
      <c r="Z39" s="549"/>
      <c r="AA39" s="549"/>
      <c r="AB39" s="549"/>
      <c r="AC39" s="549"/>
      <c r="AD39" s="549"/>
    </row>
    <row r="40" spans="18:30">
      <c r="R40" s="549"/>
      <c r="S40" s="549"/>
      <c r="T40" s="549"/>
      <c r="U40" s="549"/>
      <c r="V40" s="549"/>
      <c r="W40" s="549"/>
      <c r="X40" s="549"/>
      <c r="Y40" s="549"/>
      <c r="Z40" s="549"/>
      <c r="AA40" s="549"/>
      <c r="AB40" s="549"/>
      <c r="AC40" s="549"/>
      <c r="AD40" s="549"/>
    </row>
    <row r="41" spans="18:30">
      <c r="R41" s="549"/>
      <c r="S41" s="549"/>
      <c r="T41" s="549"/>
      <c r="U41" s="549"/>
      <c r="V41" s="549"/>
      <c r="W41" s="549"/>
      <c r="X41" s="549"/>
      <c r="Y41" s="549"/>
      <c r="Z41" s="549"/>
      <c r="AA41" s="549"/>
      <c r="AB41" s="549"/>
      <c r="AC41" s="549"/>
      <c r="AD41" s="549"/>
    </row>
    <row r="42" spans="18:30">
      <c r="R42" s="549"/>
      <c r="S42" s="549"/>
      <c r="T42" s="549"/>
      <c r="U42" s="549"/>
      <c r="V42" s="549"/>
      <c r="W42" s="549"/>
      <c r="X42" s="549"/>
      <c r="Y42" s="549"/>
      <c r="Z42" s="549"/>
      <c r="AA42" s="549"/>
      <c r="AB42" s="549"/>
      <c r="AC42" s="549"/>
      <c r="AD42" s="549"/>
    </row>
    <row r="43" spans="18:30" ht="14.5">
      <c r="S43" s="546"/>
    </row>
    <row r="44" spans="18:30" ht="14.5">
      <c r="S44" s="546"/>
    </row>
    <row r="45" spans="18:30" ht="14.5">
      <c r="S45" s="546"/>
    </row>
    <row r="46" spans="18:30" ht="14.5">
      <c r="S46" s="546"/>
    </row>
    <row r="47" spans="18:30" ht="14.5">
      <c r="S47" s="546"/>
    </row>
    <row r="48" spans="18:30" ht="14.5">
      <c r="S48" s="546"/>
    </row>
    <row r="56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61" orientation="landscape" r:id="rId1"/>
  <headerFooter>
    <oddFooter>&amp;L&amp;F - &amp;A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H51"/>
  <sheetViews>
    <sheetView zoomScale="85" zoomScaleNormal="85" workbookViewId="0">
      <selection activeCell="M51" sqref="M51"/>
    </sheetView>
  </sheetViews>
  <sheetFormatPr defaultRowHeight="13"/>
  <cols>
    <col min="1" max="1" width="18.69921875" bestFit="1" customWidth="1"/>
    <col min="2" max="14" width="9.296875" customWidth="1"/>
    <col min="16" max="16" width="2.3984375" customWidth="1"/>
    <col min="17" max="23" width="10.69921875" customWidth="1"/>
    <col min="24" max="24" width="5.69921875" customWidth="1"/>
  </cols>
  <sheetData>
    <row r="1" spans="1:34">
      <c r="C1" s="698" t="s">
        <v>193</v>
      </c>
      <c r="D1" s="698"/>
      <c r="E1" s="698"/>
      <c r="F1" s="698"/>
      <c r="G1" s="698"/>
      <c r="H1" s="698"/>
      <c r="I1" s="698"/>
      <c r="J1" s="698"/>
      <c r="K1" s="698"/>
      <c r="P1" s="700"/>
      <c r="Q1" s="700"/>
      <c r="R1" s="700"/>
      <c r="S1" s="700"/>
      <c r="T1" s="700"/>
      <c r="U1" s="700"/>
      <c r="V1" s="700"/>
      <c r="W1" s="700"/>
      <c r="X1" s="700"/>
    </row>
    <row r="2" spans="1:34" ht="25.5">
      <c r="C2" s="699" t="s">
        <v>329</v>
      </c>
      <c r="D2" s="699"/>
      <c r="E2" s="699"/>
      <c r="F2" s="699"/>
      <c r="G2" s="699"/>
      <c r="H2" s="699"/>
      <c r="I2" s="699"/>
      <c r="J2" s="699"/>
      <c r="K2" s="699"/>
      <c r="P2" s="698"/>
      <c r="Q2" s="698"/>
      <c r="R2" s="698"/>
      <c r="S2" s="698"/>
      <c r="T2" s="698"/>
      <c r="U2" s="698"/>
      <c r="V2" s="698"/>
      <c r="W2" s="698"/>
      <c r="X2" s="698"/>
      <c r="Z2" s="698"/>
      <c r="AA2" s="698"/>
      <c r="AB2" s="698"/>
      <c r="AC2" s="698"/>
      <c r="AD2" s="698"/>
      <c r="AE2" s="698"/>
      <c r="AF2" s="698"/>
      <c r="AG2" s="698"/>
      <c r="AH2" s="698"/>
    </row>
    <row r="3" spans="1:34" ht="25.5">
      <c r="C3" s="698" t="s">
        <v>195</v>
      </c>
      <c r="D3" s="698"/>
      <c r="E3" s="698"/>
      <c r="F3" s="698"/>
      <c r="G3" s="698"/>
      <c r="H3" s="698"/>
      <c r="I3" s="698"/>
      <c r="J3" s="698"/>
      <c r="K3" s="698"/>
      <c r="P3" s="699"/>
      <c r="Q3" s="699"/>
      <c r="R3" s="699"/>
      <c r="S3" s="699"/>
      <c r="T3" s="699"/>
      <c r="U3" s="699"/>
      <c r="V3" s="699"/>
      <c r="W3" s="699"/>
      <c r="X3" s="699"/>
      <c r="Z3" s="701"/>
      <c r="AA3" s="701"/>
      <c r="AB3" s="701"/>
      <c r="AC3" s="701"/>
      <c r="AD3" s="701"/>
      <c r="AE3" s="701"/>
      <c r="AF3" s="701"/>
      <c r="AG3" s="701"/>
      <c r="AH3" s="701"/>
    </row>
    <row r="4" spans="1:34">
      <c r="A4" t="s">
        <v>194</v>
      </c>
      <c r="B4" s="268">
        <v>41913</v>
      </c>
      <c r="C4" s="268">
        <f>EOMONTH(B4,1)</f>
        <v>41973</v>
      </c>
      <c r="D4" s="268">
        <f t="shared" ref="D4:N4" si="0">EOMONTH(C4,1)</f>
        <v>42004</v>
      </c>
      <c r="E4" s="268">
        <f t="shared" si="0"/>
        <v>42035</v>
      </c>
      <c r="F4" s="268">
        <f t="shared" si="0"/>
        <v>42063</v>
      </c>
      <c r="G4" s="268">
        <f t="shared" si="0"/>
        <v>42094</v>
      </c>
      <c r="H4" s="268">
        <f t="shared" si="0"/>
        <v>42124</v>
      </c>
      <c r="I4" s="268">
        <f t="shared" si="0"/>
        <v>42155</v>
      </c>
      <c r="J4" s="268">
        <f t="shared" si="0"/>
        <v>42185</v>
      </c>
      <c r="K4" s="268">
        <f t="shared" si="0"/>
        <v>42216</v>
      </c>
      <c r="L4" s="268">
        <f t="shared" si="0"/>
        <v>42247</v>
      </c>
      <c r="M4" s="268">
        <f t="shared" si="0"/>
        <v>42277</v>
      </c>
      <c r="N4" s="268">
        <f t="shared" si="0"/>
        <v>42308</v>
      </c>
      <c r="P4" s="698"/>
      <c r="Q4" s="698"/>
      <c r="R4" s="698"/>
      <c r="S4" s="698"/>
      <c r="T4" s="698"/>
      <c r="U4" s="698"/>
      <c r="V4" s="698"/>
      <c r="W4" s="698"/>
      <c r="X4" s="698"/>
      <c r="Z4" s="698"/>
      <c r="AA4" s="698"/>
      <c r="AB4" s="698"/>
      <c r="AC4" s="698"/>
      <c r="AD4" s="698"/>
      <c r="AE4" s="698"/>
      <c r="AF4" s="698"/>
      <c r="AG4" s="698"/>
    </row>
    <row r="6" spans="1:34">
      <c r="A6" s="269" t="s">
        <v>196</v>
      </c>
    </row>
    <row r="7" spans="1:34">
      <c r="A7" s="270"/>
      <c r="B7" s="271" t="str">
        <f>TEXT(B4,"mmmmm-YY")</f>
        <v>O-14</v>
      </c>
      <c r="C7" s="271" t="str">
        <f>TEXT(C4,"mmmmm-YY")</f>
        <v>N-14</v>
      </c>
      <c r="D7" s="271" t="str">
        <f>TEXT(D4,"mmmmm")</f>
        <v>D</v>
      </c>
      <c r="E7" s="271" t="str">
        <f>TEXT(E4,"mmmmm-YY")</f>
        <v>J-15</v>
      </c>
      <c r="F7" s="271" t="str">
        <f>TEXT(F4,"mmmmm-YY")</f>
        <v>F-15</v>
      </c>
      <c r="G7" s="271" t="str">
        <f t="shared" ref="G7:N7" si="1">TEXT(G4,"mmmmm")</f>
        <v>M</v>
      </c>
      <c r="H7" s="271" t="str">
        <f t="shared" si="1"/>
        <v>A</v>
      </c>
      <c r="I7" s="271" t="str">
        <f t="shared" si="1"/>
        <v>M</v>
      </c>
      <c r="J7" s="271" t="str">
        <f t="shared" si="1"/>
        <v>J</v>
      </c>
      <c r="K7" s="271" t="str">
        <f t="shared" si="1"/>
        <v>J</v>
      </c>
      <c r="L7" s="271" t="str">
        <f t="shared" si="1"/>
        <v>A</v>
      </c>
      <c r="M7" s="271" t="str">
        <f t="shared" si="1"/>
        <v>S</v>
      </c>
      <c r="N7" s="271" t="str">
        <f t="shared" si="1"/>
        <v>O</v>
      </c>
    </row>
    <row r="8" spans="1:34">
      <c r="A8" t="s">
        <v>2</v>
      </c>
      <c r="B8" s="272">
        <v>3.1087682634400022</v>
      </c>
      <c r="C8" s="272">
        <f>B8-(('WA - Def-Amtz'!S6+'WA - Def-Amtz'!S9)/1000000)</f>
        <v>3.6467914534399961</v>
      </c>
      <c r="D8" s="272">
        <f>C8-(('WA - Def-Amtz'!T6+'WA - Def-Amtz'!T9)/1000000)</f>
        <v>4.1805524017439897</v>
      </c>
      <c r="E8" s="272">
        <f>D8-(('WA - Def-Amtz'!U6+'WA - Def-Amtz'!U9)/1000000)</f>
        <v>3.5618082323399887</v>
      </c>
      <c r="F8" s="272"/>
      <c r="G8" s="272"/>
      <c r="H8" s="272"/>
      <c r="I8" s="272"/>
      <c r="J8" s="272"/>
      <c r="K8" s="272"/>
      <c r="L8" s="272"/>
      <c r="M8" s="272"/>
      <c r="N8" s="272"/>
      <c r="Q8" s="565"/>
    </row>
    <row r="9" spans="1:34">
      <c r="A9" t="s">
        <v>3</v>
      </c>
      <c r="B9" s="566">
        <v>-2.6515230902770028</v>
      </c>
      <c r="C9" s="272">
        <f>B9-(('WA - Def-Amtz'!S7+'WA - Def-Amtz'!S10)/1000000)</f>
        <v>-5.4499761425010025</v>
      </c>
      <c r="D9" s="566">
        <f>C9-(('WA - Def-Amtz'!T7+'WA - Def-Amtz'!T10)/1000000)</f>
        <v>-4.0360349296660027</v>
      </c>
      <c r="E9" s="566">
        <f>D9-(('WA - Def-Amtz'!U7+'WA - Def-Amtz'!U10)/1000000)</f>
        <v>-2.4297905731820029</v>
      </c>
      <c r="F9" s="566"/>
      <c r="G9" s="272"/>
      <c r="H9" s="272"/>
      <c r="I9" s="272"/>
      <c r="J9" s="272"/>
      <c r="K9" s="272"/>
      <c r="L9" s="272"/>
      <c r="M9" s="272"/>
      <c r="N9" s="272"/>
    </row>
    <row r="10" spans="1:34">
      <c r="A10" s="273" t="s">
        <v>21</v>
      </c>
      <c r="B10" s="274">
        <f>SUM(B8:B9)</f>
        <v>0.4572451731629994</v>
      </c>
      <c r="C10" s="274">
        <f>SUM(C8:C9)</f>
        <v>-1.8031846890610064</v>
      </c>
      <c r="D10" s="274">
        <f t="shared" ref="D10:F10" si="2">SUM(D8:D9)</f>
        <v>0.14451747207798693</v>
      </c>
      <c r="E10" s="274">
        <f t="shared" si="2"/>
        <v>1.1320176591579858</v>
      </c>
      <c r="F10" s="274">
        <f t="shared" si="2"/>
        <v>0</v>
      </c>
      <c r="G10" s="274">
        <f t="shared" ref="G10:N10" si="3">SUM(G8:G9)</f>
        <v>0</v>
      </c>
      <c r="H10" s="274">
        <f t="shared" si="3"/>
        <v>0</v>
      </c>
      <c r="I10" s="274">
        <f t="shared" si="3"/>
        <v>0</v>
      </c>
      <c r="J10" s="274">
        <f t="shared" si="3"/>
        <v>0</v>
      </c>
      <c r="K10" s="274">
        <f t="shared" si="3"/>
        <v>0</v>
      </c>
      <c r="L10" s="274">
        <f t="shared" si="3"/>
        <v>0</v>
      </c>
      <c r="M10" s="274">
        <f t="shared" si="3"/>
        <v>0</v>
      </c>
      <c r="N10" s="274">
        <f t="shared" si="3"/>
        <v>0</v>
      </c>
    </row>
    <row r="12" spans="1:34">
      <c r="A12" s="269" t="s">
        <v>250</v>
      </c>
    </row>
    <row r="13" spans="1:34">
      <c r="A13" s="270"/>
      <c r="B13" s="271" t="str">
        <f>TEXT(B4,"mmmmm-YY")</f>
        <v>O-14</v>
      </c>
      <c r="C13" s="271" t="str">
        <f>TEXT(C4,"mmmmm")</f>
        <v>N</v>
      </c>
      <c r="D13" s="271" t="str">
        <f>TEXT(D4,"mmmmm")</f>
        <v>D</v>
      </c>
      <c r="E13" s="271" t="str">
        <f t="shared" ref="E13:F13" si="4">TEXT(E4,"mmmmm-YY")</f>
        <v>J-15</v>
      </c>
      <c r="F13" s="271" t="str">
        <f t="shared" si="4"/>
        <v>F-15</v>
      </c>
      <c r="G13" s="271" t="str">
        <f t="shared" ref="G13:M13" si="5">TEXT(G4,"mmmmm")</f>
        <v>M</v>
      </c>
      <c r="H13" s="271" t="str">
        <f t="shared" si="5"/>
        <v>A</v>
      </c>
      <c r="I13" s="271" t="str">
        <f t="shared" si="5"/>
        <v>M</v>
      </c>
      <c r="J13" s="271" t="str">
        <f t="shared" si="5"/>
        <v>J</v>
      </c>
      <c r="K13" s="271" t="str">
        <f t="shared" si="5"/>
        <v>J</v>
      </c>
      <c r="L13" s="271" t="str">
        <f t="shared" si="5"/>
        <v>A</v>
      </c>
      <c r="M13" s="271" t="str">
        <f t="shared" si="5"/>
        <v>S</v>
      </c>
      <c r="N13" s="271" t="s">
        <v>247</v>
      </c>
    </row>
    <row r="14" spans="1:34">
      <c r="A14" t="s">
        <v>2</v>
      </c>
      <c r="B14" s="567">
        <v>2.5496013100000012</v>
      </c>
      <c r="C14" s="272">
        <f>B14-(('ID - Def-Amtz '!S6+'ID - Def-Amtz '!S9)/1000000)</f>
        <v>1.8014744099999986</v>
      </c>
      <c r="D14" s="568">
        <f>C14-(('ID - Def-Amtz '!T6+'ID - Def-Amtz '!T9)/1000000)</f>
        <v>2.0113082716959956</v>
      </c>
      <c r="E14" s="568">
        <f>D14-(('ID - Def-Amtz '!U6+'ID - Def-Amtz '!U9)/1000000)</f>
        <v>1.6793401132499965</v>
      </c>
      <c r="F14" s="568"/>
      <c r="G14" s="568"/>
      <c r="H14" s="568"/>
      <c r="I14" s="568"/>
      <c r="J14" s="568"/>
      <c r="K14" s="568"/>
      <c r="L14" s="568"/>
      <c r="M14" s="568"/>
      <c r="N14" s="568"/>
    </row>
    <row r="15" spans="1:34">
      <c r="A15" t="s">
        <v>3</v>
      </c>
      <c r="B15" s="568">
        <v>-0.69658912778300142</v>
      </c>
      <c r="C15" s="272">
        <f>B15-(('ID - Def-Amtz '!S7+'ID - Def-Amtz '!S10)/1000000)</f>
        <v>-2.1068052855590014</v>
      </c>
      <c r="D15" s="568">
        <f>C15-(('ID - Def-Amtz '!T7+'ID - Def-Amtz '!T10)/1000000)</f>
        <v>-1.5923268683940015</v>
      </c>
      <c r="E15" s="568">
        <f>D15-(('ID - Def-Amtz '!U7+'ID - Def-Amtz '!U10)/1000000)</f>
        <v>-0.95760129210800138</v>
      </c>
      <c r="F15" s="568"/>
      <c r="G15" s="568"/>
      <c r="H15" s="272"/>
      <c r="I15" s="272"/>
      <c r="J15" s="272"/>
      <c r="K15" s="272"/>
      <c r="L15" s="272"/>
      <c r="M15" s="272"/>
      <c r="N15" s="272"/>
    </row>
    <row r="16" spans="1:34">
      <c r="A16" s="273" t="s">
        <v>21</v>
      </c>
      <c r="B16" s="274">
        <f>SUM(B14:B15)</f>
        <v>1.8530121822169998</v>
      </c>
      <c r="C16" s="274">
        <f>SUM(C14:C15)</f>
        <v>-0.30533087555900273</v>
      </c>
      <c r="D16" s="274">
        <f t="shared" ref="D16:F16" si="6">SUM(D14:D15)</f>
        <v>0.41898140330199407</v>
      </c>
      <c r="E16" s="274">
        <f t="shared" si="6"/>
        <v>0.72173882114199517</v>
      </c>
      <c r="F16" s="274">
        <f t="shared" si="6"/>
        <v>0</v>
      </c>
      <c r="G16" s="274">
        <f t="shared" ref="G16:N16" si="7">SUM(G14:G15)</f>
        <v>0</v>
      </c>
      <c r="H16" s="274">
        <f t="shared" si="7"/>
        <v>0</v>
      </c>
      <c r="I16" s="274">
        <f t="shared" si="7"/>
        <v>0</v>
      </c>
      <c r="J16" s="274">
        <f t="shared" si="7"/>
        <v>0</v>
      </c>
      <c r="K16" s="274">
        <f t="shared" si="7"/>
        <v>0</v>
      </c>
      <c r="L16" s="274">
        <f t="shared" si="7"/>
        <v>0</v>
      </c>
      <c r="M16" s="274">
        <f t="shared" si="7"/>
        <v>0</v>
      </c>
      <c r="N16" s="274">
        <f t="shared" si="7"/>
        <v>0</v>
      </c>
    </row>
    <row r="51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0">
    <tabColor rgb="FF92D050"/>
    <pageSetUpPr fitToPage="1"/>
  </sheetPr>
  <dimension ref="A1:P118"/>
  <sheetViews>
    <sheetView showGridLines="0" view="pageBreakPreview" topLeftCell="A34" zoomScale="80" zoomScaleNormal="100" zoomScaleSheetLayoutView="80" workbookViewId="0">
      <selection activeCell="G51" sqref="G51:J55"/>
    </sheetView>
  </sheetViews>
  <sheetFormatPr defaultColWidth="9.09765625" defaultRowHeight="15.5"/>
  <cols>
    <col min="1" max="1" width="13.09765625" style="386" customWidth="1"/>
    <col min="2" max="2" width="9.296875" style="386" customWidth="1"/>
    <col min="3" max="3" width="17.8984375" style="386" customWidth="1"/>
    <col min="4" max="4" width="18.3984375" style="386" customWidth="1"/>
    <col min="5" max="5" width="20.09765625" style="322" bestFit="1" customWidth="1"/>
    <col min="6" max="6" width="16.09765625" style="386" customWidth="1"/>
    <col min="7" max="7" width="34.59765625" style="386" bestFit="1" customWidth="1"/>
    <col min="8" max="8" width="16.8984375" style="386" customWidth="1"/>
    <col min="9" max="9" width="18.296875" style="386" bestFit="1" customWidth="1"/>
    <col min="10" max="10" width="18.296875" style="386" customWidth="1"/>
    <col min="11" max="11" width="3.3984375" style="386" customWidth="1"/>
    <col min="12" max="16384" width="9.09765625" style="386"/>
  </cols>
  <sheetData>
    <row r="1" spans="1:10">
      <c r="A1" s="51" t="s">
        <v>13</v>
      </c>
    </row>
    <row r="2" spans="1:10">
      <c r="A2" s="51" t="s">
        <v>46</v>
      </c>
    </row>
    <row r="3" spans="1:10">
      <c r="A3" s="51" t="s">
        <v>170</v>
      </c>
    </row>
    <row r="4" spans="1:10">
      <c r="A4" s="51" t="s">
        <v>171</v>
      </c>
    </row>
    <row r="7" spans="1:10" s="387" customFormat="1" ht="16" thickBot="1">
      <c r="D7" s="142" t="s">
        <v>225</v>
      </c>
      <c r="E7" s="331">
        <f>'ID Holdback 191015'!C101</f>
        <v>-1565571.2499999998</v>
      </c>
    </row>
    <row r="8" spans="1:10" ht="16.5" thickTop="1" thickBot="1"/>
    <row r="9" spans="1:10">
      <c r="A9" s="73" t="s">
        <v>142</v>
      </c>
      <c r="B9" s="74"/>
      <c r="C9" s="75"/>
      <c r="D9" s="76"/>
      <c r="E9" s="323"/>
      <c r="G9" s="16"/>
      <c r="H9" s="5"/>
      <c r="I9" s="56"/>
      <c r="J9" s="56"/>
    </row>
    <row r="10" spans="1:10">
      <c r="A10" s="220">
        <v>41578</v>
      </c>
      <c r="B10" s="71"/>
      <c r="C10" s="16"/>
      <c r="D10" s="72" t="s">
        <v>23</v>
      </c>
      <c r="E10" s="324" t="s">
        <v>21</v>
      </c>
      <c r="G10" s="5"/>
      <c r="H10" s="5"/>
      <c r="I10" s="8"/>
      <c r="J10" s="10"/>
    </row>
    <row r="11" spans="1:10" ht="16" thickBot="1">
      <c r="A11" s="14"/>
      <c r="B11" s="18"/>
      <c r="C11" s="131" t="s">
        <v>21</v>
      </c>
      <c r="D11" s="131" t="s">
        <v>22</v>
      </c>
      <c r="E11" s="325" t="s">
        <v>23</v>
      </c>
      <c r="F11" s="387"/>
      <c r="G11" s="7"/>
      <c r="H11" s="7"/>
      <c r="I11" s="10"/>
      <c r="J11" s="10"/>
    </row>
    <row r="12" spans="1:10">
      <c r="A12" s="2" t="s">
        <v>24</v>
      </c>
      <c r="B12" s="17">
        <v>101</v>
      </c>
      <c r="C12" s="254">
        <v>0</v>
      </c>
      <c r="D12" s="391" t="s">
        <v>188</v>
      </c>
      <c r="E12" s="326">
        <v>61399.94</v>
      </c>
      <c r="F12" s="387"/>
      <c r="G12" s="7"/>
      <c r="H12" s="7"/>
      <c r="I12" s="8"/>
      <c r="J12" s="7"/>
    </row>
    <row r="13" spans="1:10" ht="16" thickBot="1">
      <c r="A13" s="2" t="s">
        <v>24</v>
      </c>
      <c r="B13" s="17">
        <v>111</v>
      </c>
      <c r="C13" s="254">
        <v>0</v>
      </c>
      <c r="D13" s="391" t="s">
        <v>188</v>
      </c>
      <c r="E13" s="326">
        <v>26738.47</v>
      </c>
      <c r="F13" s="387"/>
      <c r="G13" s="146">
        <f>A10</f>
        <v>41578</v>
      </c>
      <c r="H13" s="147"/>
      <c r="I13" s="147"/>
      <c r="J13" s="147"/>
    </row>
    <row r="14" spans="1:10" ht="16" thickBot="1">
      <c r="A14" s="2" t="s">
        <v>24</v>
      </c>
      <c r="B14" s="17">
        <v>112</v>
      </c>
      <c r="C14" s="254"/>
      <c r="D14" s="391" t="s">
        <v>188</v>
      </c>
      <c r="E14" s="326">
        <v>367.45</v>
      </c>
      <c r="F14" s="387"/>
      <c r="G14" s="102" t="s">
        <v>25</v>
      </c>
      <c r="H14" s="148"/>
      <c r="I14" s="149" t="s">
        <v>18</v>
      </c>
      <c r="J14" s="150" t="s">
        <v>19</v>
      </c>
    </row>
    <row r="15" spans="1:10">
      <c r="A15" s="2" t="s">
        <v>24</v>
      </c>
      <c r="B15" s="17">
        <v>121</v>
      </c>
      <c r="C15" s="254"/>
      <c r="D15" s="221"/>
      <c r="E15" s="326">
        <v>0</v>
      </c>
      <c r="F15" s="387"/>
      <c r="G15" s="151" t="s">
        <v>28</v>
      </c>
      <c r="H15" s="152" t="s">
        <v>77</v>
      </c>
      <c r="I15" s="108"/>
      <c r="J15" s="396">
        <f>IF(E24&gt;0,-E24,0)</f>
        <v>0</v>
      </c>
    </row>
    <row r="16" spans="1:10">
      <c r="A16" s="2" t="s">
        <v>24</v>
      </c>
      <c r="B16" s="17">
        <v>122</v>
      </c>
      <c r="C16" s="255"/>
      <c r="D16" s="221"/>
      <c r="E16" s="326">
        <v>0</v>
      </c>
      <c r="F16" s="387"/>
      <c r="G16" s="153" t="s">
        <v>29</v>
      </c>
      <c r="H16" s="7" t="s">
        <v>78</v>
      </c>
      <c r="I16" s="397">
        <f>IF(E24&lt;0,-E24,0)</f>
        <v>1267.76</v>
      </c>
      <c r="J16" s="223"/>
    </row>
    <row r="17" spans="1:10">
      <c r="A17" s="2" t="s">
        <v>24</v>
      </c>
      <c r="B17" s="17">
        <v>131</v>
      </c>
      <c r="C17" s="254">
        <v>0</v>
      </c>
      <c r="D17" s="391" t="s">
        <v>188</v>
      </c>
      <c r="E17" s="326">
        <v>0</v>
      </c>
      <c r="F17" s="387"/>
      <c r="G17" s="153" t="s">
        <v>99</v>
      </c>
      <c r="H17" s="7" t="s">
        <v>230</v>
      </c>
      <c r="I17" s="397">
        <f>IF((E7-E23)&gt;0,E7-E23,0)</f>
        <v>0</v>
      </c>
      <c r="J17" s="397">
        <f>IF((E7-E23)&lt;0,E7-E23,0)</f>
        <v>-88526.800000000047</v>
      </c>
    </row>
    <row r="18" spans="1:10">
      <c r="A18" s="2" t="s">
        <v>24</v>
      </c>
      <c r="B18" s="17">
        <v>132</v>
      </c>
      <c r="C18" s="255"/>
      <c r="D18" s="391" t="s">
        <v>188</v>
      </c>
      <c r="E18" s="326">
        <v>20.94</v>
      </c>
      <c r="F18" s="387"/>
      <c r="G18" s="153" t="s">
        <v>10</v>
      </c>
      <c r="H18" s="7" t="s">
        <v>58</v>
      </c>
      <c r="I18" s="7"/>
      <c r="J18" s="462"/>
    </row>
    <row r="19" spans="1:10" ht="16" thickBot="1">
      <c r="A19" s="2" t="s">
        <v>24</v>
      </c>
      <c r="B19" s="17" t="s">
        <v>61</v>
      </c>
      <c r="C19" s="255"/>
      <c r="D19" s="121"/>
      <c r="E19" s="326">
        <v>0</v>
      </c>
      <c r="F19" s="387"/>
      <c r="G19" s="154" t="s">
        <v>100</v>
      </c>
      <c r="H19" s="147" t="s">
        <v>209</v>
      </c>
      <c r="I19" s="464">
        <f>IF((E25-E7)&gt;0,E25-E7,0)</f>
        <v>87259.040000000037</v>
      </c>
      <c r="J19" s="107">
        <f>IF((E25-E7)&lt;0,E25-E7,0)</f>
        <v>0</v>
      </c>
    </row>
    <row r="20" spans="1:10">
      <c r="A20" s="2" t="s">
        <v>156</v>
      </c>
      <c r="B20" s="70"/>
      <c r="C20" s="253"/>
      <c r="D20" s="136"/>
      <c r="E20" s="329">
        <v>0</v>
      </c>
      <c r="F20" s="387"/>
      <c r="G20" s="7"/>
      <c r="H20" s="7"/>
      <c r="I20" s="8"/>
      <c r="J20" s="262">
        <f>ROUND(SUM(I15:J19),2)</f>
        <v>0</v>
      </c>
    </row>
    <row r="21" spans="1:10" ht="16" thickBot="1">
      <c r="B21" s="6"/>
      <c r="C21" s="256">
        <f>SUM(C12:C20)</f>
        <v>0</v>
      </c>
      <c r="D21" s="155"/>
      <c r="E21" s="328">
        <f>SUM(E12:E20)</f>
        <v>88526.8</v>
      </c>
      <c r="F21" s="387"/>
      <c r="G21" s="7"/>
      <c r="H21" s="7"/>
      <c r="I21" s="7"/>
      <c r="J21" s="7"/>
    </row>
    <row r="22" spans="1:10" ht="16" thickTop="1">
      <c r="B22" s="6"/>
      <c r="C22" s="257">
        <v>0</v>
      </c>
      <c r="D22" s="66" t="s">
        <v>161</v>
      </c>
      <c r="E22" s="329">
        <v>0</v>
      </c>
      <c r="F22" s="387"/>
      <c r="G22" s="65" t="s">
        <v>158</v>
      </c>
      <c r="H22" s="7"/>
      <c r="I22" s="12"/>
      <c r="J22" s="12"/>
    </row>
    <row r="23" spans="1:10">
      <c r="C23" s="319">
        <f>C21-C22</f>
        <v>0</v>
      </c>
      <c r="D23" s="66" t="s">
        <v>87</v>
      </c>
      <c r="E23" s="328">
        <f>E21+E22+E7</f>
        <v>-1477044.4499999997</v>
      </c>
      <c r="F23" s="387"/>
      <c r="G23" s="8">
        <f>(E7*(D24/12))+((E21-E20)*(D24/24))</f>
        <v>-1267.7565416666666</v>
      </c>
      <c r="H23" s="7"/>
      <c r="I23" s="8"/>
      <c r="J23" s="10"/>
    </row>
    <row r="24" spans="1:10">
      <c r="C24" s="50"/>
      <c r="D24" s="226">
        <v>0.01</v>
      </c>
      <c r="E24" s="330">
        <f>ROUND(((E7)+(E21-E20)/2)*(D24/12),2)</f>
        <v>-1267.76</v>
      </c>
      <c r="F24" s="387"/>
      <c r="G24" s="65"/>
      <c r="H24" s="7"/>
      <c r="I24" s="10"/>
      <c r="J24" s="10"/>
    </row>
    <row r="25" spans="1:10" ht="16" thickBot="1">
      <c r="A25" s="5"/>
      <c r="B25" s="5"/>
      <c r="C25" s="50" t="s">
        <v>1</v>
      </c>
      <c r="D25" s="143">
        <f>A10</f>
        <v>41578</v>
      </c>
      <c r="E25" s="331">
        <f>SUM(E23:E24)</f>
        <v>-1478312.2099999997</v>
      </c>
      <c r="F25" s="387"/>
      <c r="G25" s="7"/>
      <c r="H25" s="7"/>
      <c r="I25" s="8"/>
      <c r="J25" s="7"/>
    </row>
    <row r="26" spans="1:10" ht="16.5" thickTop="1" thickBot="1"/>
    <row r="27" spans="1:10">
      <c r="A27" s="73" t="s">
        <v>142</v>
      </c>
      <c r="B27" s="74"/>
      <c r="C27" s="75"/>
      <c r="D27" s="76"/>
      <c r="E27" s="323"/>
      <c r="G27" s="16"/>
      <c r="H27" s="5"/>
      <c r="I27" s="56"/>
      <c r="J27" s="56"/>
    </row>
    <row r="28" spans="1:10">
      <c r="A28" s="220">
        <v>41608</v>
      </c>
      <c r="B28" s="71"/>
      <c r="C28" s="16"/>
      <c r="D28" s="72" t="s">
        <v>23</v>
      </c>
      <c r="E28" s="324" t="s">
        <v>21</v>
      </c>
      <c r="G28" s="5"/>
      <c r="H28" s="5"/>
      <c r="I28" s="8"/>
      <c r="J28" s="10"/>
    </row>
    <row r="29" spans="1:10" ht="16" thickBot="1">
      <c r="A29" s="14"/>
      <c r="B29" s="18"/>
      <c r="C29" s="131" t="s">
        <v>21</v>
      </c>
      <c r="D29" s="131" t="s">
        <v>22</v>
      </c>
      <c r="E29" s="325" t="s">
        <v>23</v>
      </c>
      <c r="F29" s="387"/>
      <c r="G29" s="7"/>
      <c r="H29" s="7"/>
      <c r="I29" s="10"/>
      <c r="J29" s="10"/>
    </row>
    <row r="30" spans="1:10">
      <c r="A30" s="2" t="s">
        <v>24</v>
      </c>
      <c r="B30" s="17">
        <v>101</v>
      </c>
      <c r="C30" s="254">
        <v>7085932</v>
      </c>
      <c r="D30" s="391" t="s">
        <v>188</v>
      </c>
      <c r="E30" s="326">
        <v>104530.84</v>
      </c>
      <c r="F30" s="387"/>
      <c r="G30" s="7"/>
      <c r="H30" s="7"/>
      <c r="I30" s="8"/>
      <c r="J30" s="7"/>
    </row>
    <row r="31" spans="1:10" ht="16" thickBot="1">
      <c r="A31" s="2" t="s">
        <v>24</v>
      </c>
      <c r="B31" s="17">
        <v>111</v>
      </c>
      <c r="C31" s="254">
        <v>2422167</v>
      </c>
      <c r="D31" s="391" t="s">
        <v>188</v>
      </c>
      <c r="E31" s="326">
        <v>35529.620000000003</v>
      </c>
      <c r="F31" s="387"/>
      <c r="G31" s="146">
        <f>A28</f>
        <v>41608</v>
      </c>
      <c r="H31" s="147"/>
      <c r="I31" s="147"/>
      <c r="J31" s="147"/>
    </row>
    <row r="32" spans="1:10" ht="16" thickBot="1">
      <c r="A32" s="2" t="s">
        <v>24</v>
      </c>
      <c r="B32" s="17">
        <v>112</v>
      </c>
      <c r="C32" s="254">
        <v>24496</v>
      </c>
      <c r="D32" s="391" t="s">
        <v>188</v>
      </c>
      <c r="E32" s="326">
        <v>363.03</v>
      </c>
      <c r="F32" s="387"/>
      <c r="G32" s="102" t="s">
        <v>25</v>
      </c>
      <c r="H32" s="148"/>
      <c r="I32" s="149" t="s">
        <v>18</v>
      </c>
      <c r="J32" s="150" t="s">
        <v>19</v>
      </c>
    </row>
    <row r="33" spans="1:10">
      <c r="A33" s="2" t="s">
        <v>24</v>
      </c>
      <c r="B33" s="17">
        <v>121</v>
      </c>
      <c r="C33" s="254"/>
      <c r="D33" s="221"/>
      <c r="E33" s="326">
        <v>0</v>
      </c>
      <c r="F33" s="387"/>
      <c r="G33" s="151" t="s">
        <v>28</v>
      </c>
      <c r="H33" s="152" t="s">
        <v>77</v>
      </c>
      <c r="I33" s="108"/>
      <c r="J33" s="396">
        <f>IF(E42&gt;0,-E42,0)</f>
        <v>0</v>
      </c>
    </row>
    <row r="34" spans="1:10">
      <c r="A34" s="2" t="s">
        <v>24</v>
      </c>
      <c r="B34" s="17">
        <v>122</v>
      </c>
      <c r="C34" s="254"/>
      <c r="D34" s="221"/>
      <c r="E34" s="326">
        <v>0</v>
      </c>
      <c r="F34" s="387"/>
      <c r="G34" s="153" t="s">
        <v>29</v>
      </c>
      <c r="H34" s="7" t="s">
        <v>78</v>
      </c>
      <c r="I34" s="397">
        <f>IF(E42&lt;0,-E42,0)</f>
        <v>1173.9403833333333</v>
      </c>
      <c r="J34" s="223"/>
    </row>
    <row r="35" spans="1:10">
      <c r="A35" s="2" t="s">
        <v>24</v>
      </c>
      <c r="B35" s="17">
        <v>131</v>
      </c>
      <c r="C35" s="254">
        <v>0</v>
      </c>
      <c r="D35" s="391" t="s">
        <v>188</v>
      </c>
      <c r="E35" s="326">
        <v>0</v>
      </c>
      <c r="F35" s="387"/>
      <c r="G35" s="153" t="s">
        <v>99</v>
      </c>
      <c r="H35" s="7" t="s">
        <v>230</v>
      </c>
      <c r="I35" s="397">
        <f>IF((E25-E41)&gt;0,E25-E41,0)</f>
        <v>0</v>
      </c>
      <c r="J35" s="397">
        <f>IF((E25-E41)&lt;0,E25-E41,0)</f>
        <v>-140007.26</v>
      </c>
    </row>
    <row r="36" spans="1:10">
      <c r="A36" s="2" t="s">
        <v>24</v>
      </c>
      <c r="B36" s="17">
        <v>132</v>
      </c>
      <c r="C36" s="254">
        <v>27816</v>
      </c>
      <c r="D36" s="391" t="s">
        <v>188</v>
      </c>
      <c r="E36" s="326">
        <v>412.23</v>
      </c>
      <c r="F36" s="387"/>
      <c r="G36" s="153" t="s">
        <v>10</v>
      </c>
      <c r="H36" s="7" t="s">
        <v>58</v>
      </c>
      <c r="I36" s="7"/>
      <c r="J36" s="462"/>
    </row>
    <row r="37" spans="1:10" ht="16" thickBot="1">
      <c r="A37" s="2" t="s">
        <v>24</v>
      </c>
      <c r="B37" s="17" t="s">
        <v>61</v>
      </c>
      <c r="C37" s="254"/>
      <c r="D37" s="121"/>
      <c r="E37" s="326">
        <v>0</v>
      </c>
      <c r="F37" s="387"/>
      <c r="G37" s="154" t="s">
        <v>100</v>
      </c>
      <c r="H37" s="147" t="s">
        <v>209</v>
      </c>
      <c r="I37" s="464">
        <f>IF((E43-E25)&gt;0,E43-E25,0)</f>
        <v>138833.31961666676</v>
      </c>
      <c r="J37" s="107">
        <f>IF((E43-E25)&lt;0,E43-E25,0)</f>
        <v>0</v>
      </c>
    </row>
    <row r="38" spans="1:10">
      <c r="A38" s="2" t="s">
        <v>156</v>
      </c>
      <c r="B38" s="70"/>
      <c r="C38" s="253"/>
      <c r="D38" s="136"/>
      <c r="E38" s="329">
        <v>0</v>
      </c>
      <c r="F38" s="387"/>
      <c r="G38" s="7"/>
      <c r="H38" s="7"/>
      <c r="I38" s="8"/>
      <c r="J38" s="262">
        <f>ROUND(SUM(I33:J37),2)</f>
        <v>0</v>
      </c>
    </row>
    <row r="39" spans="1:10" ht="16" thickBot="1">
      <c r="B39" s="6"/>
      <c r="C39" s="256">
        <f>SUM(C30:C38)</f>
        <v>9560411</v>
      </c>
      <c r="D39" s="155"/>
      <c r="E39" s="328">
        <f>SUM(E30:E38)</f>
        <v>140835.72</v>
      </c>
      <c r="F39" s="387"/>
      <c r="G39" s="7"/>
      <c r="H39" s="7"/>
      <c r="I39" s="7"/>
      <c r="J39" s="7"/>
    </row>
    <row r="40" spans="1:10" ht="16" thickTop="1">
      <c r="B40" s="6"/>
      <c r="C40" s="257">
        <v>9560411</v>
      </c>
      <c r="D40" s="66" t="s">
        <v>161</v>
      </c>
      <c r="E40" s="329">
        <f>-828.46</f>
        <v>-828.46</v>
      </c>
      <c r="F40" s="387"/>
      <c r="G40" s="65" t="s">
        <v>158</v>
      </c>
      <c r="H40" s="7"/>
      <c r="I40" s="12"/>
      <c r="J40" s="12"/>
    </row>
    <row r="41" spans="1:10">
      <c r="C41" s="319">
        <f>C39-C40</f>
        <v>0</v>
      </c>
      <c r="D41" s="66" t="s">
        <v>87</v>
      </c>
      <c r="E41" s="328">
        <f>E39+E40+E25</f>
        <v>-1338304.9499999997</v>
      </c>
      <c r="F41" s="387"/>
      <c r="G41" s="8">
        <f>(E25*(D42/12))+((E39-E38)*(D42/24))</f>
        <v>-1173.2452916666666</v>
      </c>
      <c r="H41" s="7"/>
      <c r="I41" s="8"/>
      <c r="J41" s="10"/>
    </row>
    <row r="42" spans="1:10">
      <c r="C42" s="50"/>
      <c r="D42" s="226">
        <v>0.01</v>
      </c>
      <c r="E42" s="330">
        <f>ROUND(((E25)+(E39-E38)/2)*(D42/12),2)+(E40*0.01/12)</f>
        <v>-1173.9403833333333</v>
      </c>
      <c r="F42" s="387"/>
      <c r="G42" s="65">
        <f>E42-G41</f>
        <v>-0.69509166666671263</v>
      </c>
      <c r="H42" s="469" t="s">
        <v>231</v>
      </c>
      <c r="I42" s="10"/>
      <c r="J42" s="10"/>
    </row>
    <row r="43" spans="1:10" ht="16" thickBot="1">
      <c r="A43" s="5"/>
      <c r="B43" s="5"/>
      <c r="C43" s="50" t="s">
        <v>1</v>
      </c>
      <c r="D43" s="143">
        <f>A28</f>
        <v>41608</v>
      </c>
      <c r="E43" s="331">
        <f>SUM(E41:E42)</f>
        <v>-1339478.890383333</v>
      </c>
      <c r="F43" s="387"/>
      <c r="G43" s="7"/>
      <c r="H43" s="7"/>
      <c r="I43" s="8"/>
      <c r="J43" s="7"/>
    </row>
    <row r="44" spans="1:10" ht="16.5" thickTop="1" thickBot="1"/>
    <row r="45" spans="1:10">
      <c r="A45" s="73" t="s">
        <v>142</v>
      </c>
      <c r="B45" s="74"/>
      <c r="C45" s="75"/>
      <c r="D45" s="76"/>
      <c r="E45" s="323"/>
      <c r="G45" s="16"/>
      <c r="H45" s="5"/>
      <c r="I45" s="56"/>
      <c r="J45" s="56"/>
    </row>
    <row r="46" spans="1:10">
      <c r="A46" s="220">
        <f>EOMONTH(A28,1)</f>
        <v>41639</v>
      </c>
      <c r="B46" s="71"/>
      <c r="C46" s="16"/>
      <c r="D46" s="72" t="s">
        <v>23</v>
      </c>
      <c r="E46" s="324" t="s">
        <v>21</v>
      </c>
      <c r="G46" s="5"/>
      <c r="H46" s="5"/>
      <c r="I46" s="8"/>
      <c r="J46" s="10"/>
    </row>
    <row r="47" spans="1:10" ht="16" thickBot="1">
      <c r="A47" s="14"/>
      <c r="B47" s="18"/>
      <c r="C47" s="131" t="s">
        <v>21</v>
      </c>
      <c r="D47" s="131" t="s">
        <v>22</v>
      </c>
      <c r="E47" s="325" t="s">
        <v>23</v>
      </c>
      <c r="F47" s="387"/>
      <c r="G47" s="7"/>
      <c r="H47" s="7"/>
      <c r="I47" s="10"/>
      <c r="J47" s="10"/>
    </row>
    <row r="48" spans="1:10">
      <c r="A48" s="2" t="s">
        <v>24</v>
      </c>
      <c r="B48" s="17">
        <v>101</v>
      </c>
      <c r="C48" s="254">
        <f>Jan!$K$36</f>
        <v>8991869</v>
      </c>
      <c r="D48" s="391">
        <v>1.482E-2</v>
      </c>
      <c r="E48" s="326">
        <f>C48*D48</f>
        <v>133259.49857999998</v>
      </c>
      <c r="F48" s="387"/>
      <c r="G48" s="7"/>
      <c r="H48" s="7"/>
      <c r="I48" s="8"/>
      <c r="J48" s="7"/>
    </row>
    <row r="49" spans="1:10" ht="16" thickBot="1">
      <c r="A49" s="2" t="s">
        <v>24</v>
      </c>
      <c r="B49" s="17">
        <v>111</v>
      </c>
      <c r="C49" s="254">
        <f>Jan!$K$37</f>
        <v>2818068</v>
      </c>
      <c r="D49" s="391">
        <v>1.482E-2</v>
      </c>
      <c r="E49" s="326">
        <f t="shared" ref="E49:E55" si="0">C49*D49</f>
        <v>41763.767760000002</v>
      </c>
      <c r="F49" s="387"/>
      <c r="G49" s="146">
        <f>A46</f>
        <v>41639</v>
      </c>
      <c r="H49" s="147"/>
      <c r="I49" s="147"/>
      <c r="J49" s="147"/>
    </row>
    <row r="50" spans="1:10" ht="16" thickBot="1">
      <c r="A50" s="2" t="s">
        <v>24</v>
      </c>
      <c r="B50" s="17">
        <v>112</v>
      </c>
      <c r="C50" s="254">
        <f>Jan!$K$38</f>
        <v>2994</v>
      </c>
      <c r="D50" s="391">
        <v>1.482E-2</v>
      </c>
      <c r="E50" s="326">
        <f t="shared" si="0"/>
        <v>44.371079999999999</v>
      </c>
      <c r="F50" s="387"/>
      <c r="G50" s="102" t="s">
        <v>25</v>
      </c>
      <c r="H50" s="148"/>
      <c r="I50" s="149" t="s">
        <v>18</v>
      </c>
      <c r="J50" s="150" t="s">
        <v>19</v>
      </c>
    </row>
    <row r="51" spans="1:10">
      <c r="A51" s="2" t="s">
        <v>24</v>
      </c>
      <c r="B51" s="17">
        <v>121</v>
      </c>
      <c r="C51" s="254">
        <f>Jan!$K$39</f>
        <v>0</v>
      </c>
      <c r="D51" s="391">
        <v>1.482E-2</v>
      </c>
      <c r="E51" s="326">
        <f t="shared" si="0"/>
        <v>0</v>
      </c>
      <c r="F51" s="387"/>
      <c r="G51" s="151" t="s">
        <v>28</v>
      </c>
      <c r="H51" s="152" t="s">
        <v>77</v>
      </c>
      <c r="I51" s="108"/>
      <c r="J51" s="396">
        <f>IF(E60&gt;0,-E60,0)</f>
        <v>0</v>
      </c>
    </row>
    <row r="52" spans="1:10">
      <c r="A52" s="2" t="s">
        <v>24</v>
      </c>
      <c r="B52" s="17">
        <v>122</v>
      </c>
      <c r="C52" s="254"/>
      <c r="D52" s="221"/>
      <c r="E52" s="326">
        <f t="shared" si="0"/>
        <v>0</v>
      </c>
      <c r="F52" s="387"/>
      <c r="G52" s="153" t="s">
        <v>29</v>
      </c>
      <c r="H52" s="7" t="s">
        <v>78</v>
      </c>
      <c r="I52" s="397">
        <f>IF(E60&lt;0,-E60,0)</f>
        <v>1043.04</v>
      </c>
      <c r="J52" s="223"/>
    </row>
    <row r="53" spans="1:10">
      <c r="A53" s="2" t="s">
        <v>24</v>
      </c>
      <c r="B53" s="17">
        <v>131</v>
      </c>
      <c r="C53" s="254"/>
      <c r="D53" s="391"/>
      <c r="E53" s="326">
        <f t="shared" si="0"/>
        <v>0</v>
      </c>
      <c r="F53" s="387"/>
      <c r="G53" s="153" t="s">
        <v>99</v>
      </c>
      <c r="H53" s="7" t="s">
        <v>230</v>
      </c>
      <c r="I53" s="397">
        <f>IF((E43-E59)&gt;0,E43-E59,0)</f>
        <v>0</v>
      </c>
      <c r="J53" s="397">
        <f>IF((E43-E59)&lt;0,E43-E59,0)</f>
        <v>-175667.22497999994</v>
      </c>
    </row>
    <row r="54" spans="1:10">
      <c r="A54" s="2" t="s">
        <v>24</v>
      </c>
      <c r="B54" s="17">
        <v>132</v>
      </c>
      <c r="C54" s="254">
        <f>Jan!$K$42</f>
        <v>40458</v>
      </c>
      <c r="D54" s="391">
        <v>1.482E-2</v>
      </c>
      <c r="E54" s="326">
        <f t="shared" si="0"/>
        <v>599.58755999999994</v>
      </c>
      <c r="F54" s="387"/>
      <c r="G54" s="153" t="s">
        <v>10</v>
      </c>
      <c r="H54" s="7" t="s">
        <v>58</v>
      </c>
      <c r="I54" s="7"/>
      <c r="J54" s="462"/>
    </row>
    <row r="55" spans="1:10" ht="16" thickBot="1">
      <c r="A55" s="2" t="s">
        <v>24</v>
      </c>
      <c r="B55" s="17" t="s">
        <v>61</v>
      </c>
      <c r="C55" s="254"/>
      <c r="D55" s="121"/>
      <c r="E55" s="326">
        <f t="shared" si="0"/>
        <v>0</v>
      </c>
      <c r="F55" s="387"/>
      <c r="G55" s="154" t="s">
        <v>100</v>
      </c>
      <c r="H55" s="147" t="s">
        <v>209</v>
      </c>
      <c r="I55" s="464">
        <f>IF((E61-E43)&gt;0,E61-E43,0)</f>
        <v>174624.1849799999</v>
      </c>
      <c r="J55" s="107">
        <f>IF((E61-E43)&lt;0,E61-E43,0)</f>
        <v>0</v>
      </c>
    </row>
    <row r="56" spans="1:10">
      <c r="A56" s="2" t="s">
        <v>156</v>
      </c>
      <c r="B56" s="70"/>
      <c r="C56" s="253"/>
      <c r="D56" s="136"/>
      <c r="E56" s="329">
        <v>0</v>
      </c>
      <c r="F56" s="387"/>
      <c r="G56" s="7"/>
      <c r="H56" s="7"/>
      <c r="I56" s="8"/>
      <c r="J56" s="262">
        <f>ROUND(SUM(I51:J55),2)</f>
        <v>0</v>
      </c>
    </row>
    <row r="57" spans="1:10" ht="16" thickBot="1">
      <c r="B57" s="6"/>
      <c r="C57" s="256">
        <f>SUM(C48:C56)</f>
        <v>11853389</v>
      </c>
      <c r="D57" s="155"/>
      <c r="E57" s="328">
        <f>SUM(E48:E56)</f>
        <v>175667.22498</v>
      </c>
      <c r="F57" s="387"/>
      <c r="G57" s="7"/>
      <c r="H57" s="7"/>
      <c r="I57" s="7"/>
      <c r="J57" s="7"/>
    </row>
    <row r="58" spans="1:10" ht="16" thickTop="1">
      <c r="B58" s="6"/>
      <c r="C58" s="257">
        <v>13799763</v>
      </c>
      <c r="D58" s="66" t="s">
        <v>161</v>
      </c>
      <c r="E58" s="329">
        <v>0</v>
      </c>
      <c r="F58" s="387"/>
      <c r="G58" s="65" t="s">
        <v>158</v>
      </c>
      <c r="H58" s="7"/>
      <c r="I58" s="12"/>
      <c r="J58" s="12"/>
    </row>
    <row r="59" spans="1:10">
      <c r="C59" s="319">
        <f>C57-C58</f>
        <v>-1946374</v>
      </c>
      <c r="D59" s="66" t="s">
        <v>87</v>
      </c>
      <c r="E59" s="328">
        <f>E57+E58+E43</f>
        <v>-1163811.665403333</v>
      </c>
      <c r="F59" s="387"/>
      <c r="G59" s="8">
        <f>(E43*(D60/12))+((E57-E56)*(D60/24))</f>
        <v>-1043.0377315777775</v>
      </c>
      <c r="H59" s="7"/>
      <c r="I59" s="8"/>
      <c r="J59" s="10"/>
    </row>
    <row r="60" spans="1:10">
      <c r="C60" s="50"/>
      <c r="D60" s="226">
        <v>0.01</v>
      </c>
      <c r="E60" s="330">
        <f>ROUND(((E43)+(E57-E56)/2)*(D60/12),2)</f>
        <v>-1043.04</v>
      </c>
      <c r="F60" s="387"/>
      <c r="G60" s="65"/>
      <c r="H60" s="469"/>
      <c r="I60" s="10"/>
      <c r="J60" s="10"/>
    </row>
    <row r="61" spans="1:10" ht="16" thickBot="1">
      <c r="A61" s="5"/>
      <c r="B61" s="5"/>
      <c r="C61" s="50" t="s">
        <v>1</v>
      </c>
      <c r="D61" s="143">
        <f>A46</f>
        <v>41639</v>
      </c>
      <c r="E61" s="331">
        <f>SUM(E59:E60)</f>
        <v>-1164854.7054033331</v>
      </c>
      <c r="F61" s="387"/>
      <c r="G61" s="477" t="s">
        <v>246</v>
      </c>
      <c r="H61" s="478" t="e">
        <f ca="1">_xll.Get_Balance(I61,"YTD","USD","Total","A","","001","191015","GD","ID","DL")-E61</f>
        <v>#NAME?</v>
      </c>
      <c r="I61" s="479">
        <v>201312</v>
      </c>
      <c r="J61" s="7"/>
    </row>
    <row r="62" spans="1:10" ht="16" thickTop="1"/>
    <row r="118" spans="16:16">
      <c r="P118" s="386">
        <f>(C106*M117)/12+((C109+C112+C113)*M117)/24</f>
        <v>0</v>
      </c>
    </row>
  </sheetData>
  <conditionalFormatting sqref="C23">
    <cfRule type="cellIs" dxfId="172" priority="45" operator="notEqual">
      <formula>0</formula>
    </cfRule>
  </conditionalFormatting>
  <conditionalFormatting sqref="J20">
    <cfRule type="cellIs" dxfId="171" priority="43" stopIfTrue="1" operator="equal">
      <formula>0</formula>
    </cfRule>
    <cfRule type="cellIs" dxfId="170" priority="44" stopIfTrue="1" operator="notEqual">
      <formula>0</formula>
    </cfRule>
  </conditionalFormatting>
  <conditionalFormatting sqref="C41">
    <cfRule type="cellIs" dxfId="169" priority="6" operator="notEqual">
      <formula>0</formula>
    </cfRule>
  </conditionalFormatting>
  <conditionalFormatting sqref="J38">
    <cfRule type="cellIs" dxfId="168" priority="4" stopIfTrue="1" operator="equal">
      <formula>0</formula>
    </cfRule>
    <cfRule type="cellIs" dxfId="167" priority="5" stopIfTrue="1" operator="notEqual">
      <formula>0</formula>
    </cfRule>
  </conditionalFormatting>
  <conditionalFormatting sqref="C59">
    <cfRule type="cellIs" dxfId="166" priority="3" operator="notEqual">
      <formula>0</formula>
    </cfRule>
  </conditionalFormatting>
  <conditionalFormatting sqref="J56">
    <cfRule type="cellIs" dxfId="165" priority="1" stopIfTrue="1" operator="equal">
      <formula>0</formula>
    </cfRule>
    <cfRule type="cellIs" dxfId="164" priority="2" stopIfTrue="1" operator="notEqual">
      <formula>0</formula>
    </cfRule>
  </conditionalFormatting>
  <printOptions gridLinesSet="0"/>
  <pageMargins left="0.5" right="0.5" top="1.04" bottom="0.5" header="0.25" footer="0.25"/>
  <pageSetup scale="53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92D050"/>
    <pageSetUpPr fitToPage="1"/>
  </sheetPr>
  <dimension ref="A1:P355"/>
  <sheetViews>
    <sheetView showGridLines="0" view="pageBreakPreview" topLeftCell="A276" zoomScale="80" zoomScaleNormal="100" zoomScaleSheetLayoutView="80" workbookViewId="0">
      <selection activeCell="G51" sqref="G51:J55"/>
    </sheetView>
  </sheetViews>
  <sheetFormatPr defaultColWidth="9.09765625" defaultRowHeight="15.5"/>
  <cols>
    <col min="1" max="1" width="13.09765625" style="1" customWidth="1"/>
    <col min="2" max="2" width="9.296875" style="1" customWidth="1"/>
    <col min="3" max="3" width="17.8984375" style="1" customWidth="1"/>
    <col min="4" max="4" width="18.3984375" style="1" customWidth="1"/>
    <col min="5" max="5" width="20.09765625" style="322" bestFit="1" customWidth="1"/>
    <col min="6" max="6" width="16.09765625" style="1" customWidth="1"/>
    <col min="7" max="7" width="34.59765625" style="1" bestFit="1" customWidth="1"/>
    <col min="8" max="8" width="16.8984375" style="1" customWidth="1"/>
    <col min="9" max="9" width="18.296875" style="1" bestFit="1" customWidth="1"/>
    <col min="10" max="10" width="18.296875" style="1" customWidth="1"/>
    <col min="11" max="11" width="3.3984375" style="1" customWidth="1"/>
    <col min="12" max="16384" width="9.09765625" style="1"/>
  </cols>
  <sheetData>
    <row r="1" spans="1:10">
      <c r="A1" s="51" t="s">
        <v>13</v>
      </c>
    </row>
    <row r="2" spans="1:10">
      <c r="A2" s="51" t="s">
        <v>46</v>
      </c>
    </row>
    <row r="3" spans="1:10">
      <c r="A3" s="51" t="s">
        <v>170</v>
      </c>
    </row>
    <row r="4" spans="1:10">
      <c r="A4" s="51" t="s">
        <v>171</v>
      </c>
    </row>
    <row r="7" spans="1:10" s="333" customFormat="1" ht="16" hidden="1" thickBot="1">
      <c r="A7" s="5"/>
      <c r="B7" s="5"/>
      <c r="C7" s="50" t="s">
        <v>1</v>
      </c>
      <c r="D7" s="143">
        <v>41182</v>
      </c>
      <c r="E7" s="331">
        <v>802311.62372397084</v>
      </c>
      <c r="F7" s="335"/>
      <c r="G7" s="7"/>
      <c r="H7" s="7"/>
      <c r="I7" s="8"/>
      <c r="J7" s="7"/>
    </row>
    <row r="8" spans="1:10" s="387" customFormat="1" ht="16" hidden="1" thickTop="1">
      <c r="D8" s="142" t="s">
        <v>210</v>
      </c>
      <c r="E8" s="328">
        <f>'ID Def 191010'!T17</f>
        <v>-2122091.5699999998</v>
      </c>
    </row>
    <row r="9" spans="1:10" s="387" customFormat="1" ht="16" hidden="1" thickBot="1">
      <c r="D9" s="142" t="s">
        <v>206</v>
      </c>
      <c r="E9" s="331">
        <f>E8+E7</f>
        <v>-1319779.9462760291</v>
      </c>
    </row>
    <row r="10" spans="1:10" s="333" customFormat="1" ht="16.5" hidden="1" thickTop="1" thickBot="1">
      <c r="E10" s="322"/>
    </row>
    <row r="11" spans="1:10" hidden="1">
      <c r="A11" s="73" t="s">
        <v>142</v>
      </c>
      <c r="B11" s="74"/>
      <c r="C11" s="75"/>
      <c r="D11" s="76"/>
      <c r="E11" s="323"/>
      <c r="F11" s="333"/>
      <c r="G11" s="16"/>
      <c r="H11" s="5"/>
      <c r="I11" s="56"/>
      <c r="J11" s="56"/>
    </row>
    <row r="12" spans="1:10" hidden="1">
      <c r="A12" s="220">
        <v>41213</v>
      </c>
      <c r="B12" s="71"/>
      <c r="C12" s="16"/>
      <c r="D12" s="72" t="s">
        <v>23</v>
      </c>
      <c r="E12" s="324" t="s">
        <v>21</v>
      </c>
      <c r="F12" s="333"/>
      <c r="G12" s="5"/>
      <c r="H12" s="5"/>
      <c r="I12" s="8"/>
      <c r="J12" s="10"/>
    </row>
    <row r="13" spans="1:10" ht="16" hidden="1" thickBot="1">
      <c r="A13" s="14"/>
      <c r="B13" s="18"/>
      <c r="C13" s="131" t="s">
        <v>21</v>
      </c>
      <c r="D13" s="131" t="s">
        <v>22</v>
      </c>
      <c r="E13" s="325" t="s">
        <v>23</v>
      </c>
      <c r="F13" s="335"/>
      <c r="G13" s="7"/>
      <c r="H13" s="7"/>
      <c r="I13" s="10"/>
      <c r="J13" s="10"/>
    </row>
    <row r="14" spans="1:10" hidden="1">
      <c r="A14" s="2" t="s">
        <v>24</v>
      </c>
      <c r="B14" s="17">
        <v>101</v>
      </c>
      <c r="C14" s="254">
        <v>3765205</v>
      </c>
      <c r="D14" s="234">
        <v>1.7780000000000001E-2</v>
      </c>
      <c r="E14" s="326">
        <v>66929.279999999999</v>
      </c>
      <c r="F14" s="387" t="s">
        <v>188</v>
      </c>
      <c r="G14" s="7"/>
      <c r="H14" s="7"/>
      <c r="I14" s="8"/>
      <c r="J14" s="7"/>
    </row>
    <row r="15" spans="1:10" ht="16" hidden="1" thickBot="1">
      <c r="A15" s="2" t="s">
        <v>24</v>
      </c>
      <c r="B15" s="17">
        <v>111</v>
      </c>
      <c r="C15" s="254">
        <v>1887716</v>
      </c>
      <c r="D15" s="234">
        <v>1.7780000000000001E-2</v>
      </c>
      <c r="E15" s="326">
        <v>32198.03</v>
      </c>
      <c r="F15" s="387" t="s">
        <v>188</v>
      </c>
      <c r="G15" s="146">
        <f>A12</f>
        <v>41213</v>
      </c>
      <c r="H15" s="147"/>
      <c r="I15" s="147"/>
      <c r="J15" s="147"/>
    </row>
    <row r="16" spans="1:10" ht="16" hidden="1" thickBot="1">
      <c r="A16" s="2" t="s">
        <v>24</v>
      </c>
      <c r="B16" s="17">
        <v>112</v>
      </c>
      <c r="C16" s="254"/>
      <c r="D16" s="234"/>
      <c r="E16" s="326">
        <v>0</v>
      </c>
      <c r="F16" s="335"/>
      <c r="G16" s="102" t="s">
        <v>25</v>
      </c>
      <c r="H16" s="148"/>
      <c r="I16" s="149" t="s">
        <v>18</v>
      </c>
      <c r="J16" s="150" t="s">
        <v>19</v>
      </c>
    </row>
    <row r="17" spans="1:10" hidden="1">
      <c r="A17" s="2" t="s">
        <v>24</v>
      </c>
      <c r="B17" s="17">
        <v>121</v>
      </c>
      <c r="C17" s="254"/>
      <c r="D17" s="221"/>
      <c r="E17" s="326">
        <v>0</v>
      </c>
      <c r="F17" s="335"/>
      <c r="G17" s="151" t="s">
        <v>28</v>
      </c>
      <c r="H17" s="152" t="s">
        <v>77</v>
      </c>
      <c r="I17" s="108"/>
      <c r="J17" s="396">
        <v>0</v>
      </c>
    </row>
    <row r="18" spans="1:10" hidden="1">
      <c r="A18" s="2" t="s">
        <v>24</v>
      </c>
      <c r="B18" s="17">
        <v>122</v>
      </c>
      <c r="C18" s="255"/>
      <c r="D18" s="221"/>
      <c r="E18" s="326">
        <v>0</v>
      </c>
      <c r="F18" s="335"/>
      <c r="G18" s="153" t="s">
        <v>29</v>
      </c>
      <c r="H18" s="7" t="s">
        <v>78</v>
      </c>
      <c r="I18" s="397">
        <f>-E26</f>
        <v>1058.51</v>
      </c>
      <c r="J18" s="223"/>
    </row>
    <row r="19" spans="1:10" hidden="1">
      <c r="A19" s="2" t="s">
        <v>24</v>
      </c>
      <c r="B19" s="17">
        <v>131</v>
      </c>
      <c r="C19" s="254">
        <v>0</v>
      </c>
      <c r="D19" s="234">
        <v>1.6570000000000001E-2</v>
      </c>
      <c r="E19" s="326">
        <v>0</v>
      </c>
      <c r="F19" s="335"/>
      <c r="G19" s="153" t="s">
        <v>99</v>
      </c>
      <c r="H19" s="7" t="s">
        <v>60</v>
      </c>
      <c r="I19" s="8"/>
      <c r="J19" s="98">
        <f>-E23-E24</f>
        <v>-147173</v>
      </c>
    </row>
    <row r="20" spans="1:10" hidden="1">
      <c r="A20" s="2" t="s">
        <v>24</v>
      </c>
      <c r="B20" s="17">
        <v>132</v>
      </c>
      <c r="C20" s="255"/>
      <c r="D20" s="121"/>
      <c r="E20" s="326">
        <v>0</v>
      </c>
      <c r="F20" s="335"/>
      <c r="G20" s="153" t="s">
        <v>10</v>
      </c>
      <c r="H20" s="7" t="s">
        <v>58</v>
      </c>
      <c r="I20" s="7">
        <v>0</v>
      </c>
      <c r="J20" s="109"/>
    </row>
    <row r="21" spans="1:10" ht="16" hidden="1" thickBot="1">
      <c r="A21" s="2" t="s">
        <v>24</v>
      </c>
      <c r="B21" s="17" t="s">
        <v>61</v>
      </c>
      <c r="C21" s="255"/>
      <c r="D21" s="121"/>
      <c r="E21" s="326">
        <v>0</v>
      </c>
      <c r="F21" s="335"/>
      <c r="G21" s="154" t="s">
        <v>100</v>
      </c>
      <c r="H21" s="147" t="s">
        <v>62</v>
      </c>
      <c r="I21" s="110">
        <f>-E9+E27</f>
        <v>146114.49</v>
      </c>
      <c r="J21" s="107">
        <v>0</v>
      </c>
    </row>
    <row r="22" spans="1:10" hidden="1">
      <c r="A22" s="2" t="s">
        <v>156</v>
      </c>
      <c r="B22" s="70"/>
      <c r="C22" s="253"/>
      <c r="D22" s="136"/>
      <c r="E22" s="327">
        <v>48045.69</v>
      </c>
      <c r="F22" s="335"/>
      <c r="G22" s="7"/>
      <c r="H22" s="7"/>
      <c r="I22" s="8"/>
      <c r="J22" s="262">
        <f>ROUND(SUM(I17:J21),2)</f>
        <v>0</v>
      </c>
    </row>
    <row r="23" spans="1:10" ht="16" hidden="1" thickBot="1">
      <c r="A23" s="333"/>
      <c r="B23" s="6"/>
      <c r="C23" s="256">
        <f>SUM(C14:C22)</f>
        <v>5652921</v>
      </c>
      <c r="D23" s="155"/>
      <c r="E23" s="328">
        <f>SUM(E14:E22)</f>
        <v>147173</v>
      </c>
      <c r="F23" s="335"/>
      <c r="G23" s="7"/>
      <c r="H23" s="7"/>
      <c r="I23" s="7"/>
      <c r="J23" s="7"/>
    </row>
    <row r="24" spans="1:10" ht="16" hidden="1" thickTop="1">
      <c r="A24" s="333"/>
      <c r="B24" s="6"/>
      <c r="C24" s="257">
        <v>5652921</v>
      </c>
      <c r="D24" s="66" t="s">
        <v>161</v>
      </c>
      <c r="E24" s="329">
        <v>0</v>
      </c>
      <c r="F24" s="335"/>
      <c r="G24" s="65" t="s">
        <v>158</v>
      </c>
      <c r="H24" s="7"/>
      <c r="I24" s="12"/>
      <c r="J24" s="12"/>
    </row>
    <row r="25" spans="1:10" hidden="1">
      <c r="A25" s="333"/>
      <c r="B25" s="333"/>
      <c r="C25" s="319">
        <f>C23-C24</f>
        <v>0</v>
      </c>
      <c r="D25" s="66" t="s">
        <v>87</v>
      </c>
      <c r="E25" s="328">
        <f>E23+E24+E9</f>
        <v>-1172606.9462760291</v>
      </c>
      <c r="F25" s="335"/>
      <c r="G25" s="8">
        <f>(E9*(D26/12))+((E23-E22)*(D26/24))</f>
        <v>-1058.5135760633577</v>
      </c>
      <c r="H25" s="7"/>
      <c r="I25" s="8"/>
      <c r="J25" s="10"/>
    </row>
    <row r="26" spans="1:10" hidden="1">
      <c r="A26" s="333"/>
      <c r="B26" s="333"/>
      <c r="C26" s="50"/>
      <c r="D26" s="226">
        <v>0.01</v>
      </c>
      <c r="E26" s="330">
        <f>ROUND(((E9)+(E23-E22)/2)*(D26/12),2)</f>
        <v>-1058.51</v>
      </c>
      <c r="F26" s="335"/>
      <c r="G26" s="65"/>
      <c r="H26" s="7"/>
      <c r="I26" s="10"/>
      <c r="J26" s="10"/>
    </row>
    <row r="27" spans="1:10" ht="16" hidden="1" thickBot="1">
      <c r="A27" s="5"/>
      <c r="B27" s="5"/>
      <c r="C27" s="50" t="s">
        <v>1</v>
      </c>
      <c r="D27" s="143">
        <f>A12</f>
        <v>41213</v>
      </c>
      <c r="E27" s="331">
        <f>SUM(E25:E26)</f>
        <v>-1173665.4562760291</v>
      </c>
      <c r="F27" s="335"/>
      <c r="G27" s="7"/>
      <c r="H27" s="7"/>
      <c r="I27" s="8"/>
      <c r="J27" s="7"/>
    </row>
    <row r="28" spans="1:10" ht="16.5" hidden="1" thickTop="1" thickBot="1"/>
    <row r="29" spans="1:10" hidden="1">
      <c r="A29" s="73" t="s">
        <v>142</v>
      </c>
      <c r="B29" s="74"/>
      <c r="C29" s="75"/>
      <c r="D29" s="76"/>
      <c r="E29" s="323"/>
      <c r="F29" s="386"/>
      <c r="G29" s="16"/>
      <c r="H29" s="5"/>
      <c r="I29" s="56"/>
      <c r="J29" s="56"/>
    </row>
    <row r="30" spans="1:10" hidden="1">
      <c r="A30" s="220">
        <v>41243</v>
      </c>
      <c r="B30" s="71"/>
      <c r="C30" s="16"/>
      <c r="D30" s="72" t="s">
        <v>23</v>
      </c>
      <c r="E30" s="324" t="s">
        <v>21</v>
      </c>
      <c r="F30" s="386"/>
      <c r="G30" s="5"/>
      <c r="H30" s="5"/>
      <c r="I30" s="8"/>
      <c r="J30" s="10"/>
    </row>
    <row r="31" spans="1:10" ht="16" hidden="1" thickBot="1">
      <c r="A31" s="14"/>
      <c r="B31" s="18"/>
      <c r="C31" s="131" t="s">
        <v>21</v>
      </c>
      <c r="D31" s="131" t="s">
        <v>22</v>
      </c>
      <c r="E31" s="325" t="s">
        <v>23</v>
      </c>
      <c r="F31" s="387"/>
      <c r="G31" s="7"/>
      <c r="H31" s="7"/>
      <c r="I31" s="10"/>
      <c r="J31" s="10"/>
    </row>
    <row r="32" spans="1:10" hidden="1">
      <c r="A32" s="2" t="s">
        <v>24</v>
      </c>
      <c r="B32" s="17">
        <v>101</v>
      </c>
      <c r="C32" s="254">
        <v>6036412</v>
      </c>
      <c r="D32" s="391">
        <v>1.7780000000000001E-2</v>
      </c>
      <c r="E32" s="326">
        <v>74956.77</v>
      </c>
      <c r="F32" s="387" t="s">
        <v>188</v>
      </c>
      <c r="G32" s="7"/>
      <c r="H32" s="7"/>
      <c r="I32" s="8"/>
      <c r="J32" s="7"/>
    </row>
    <row r="33" spans="1:10" ht="16" hidden="1" thickBot="1">
      <c r="A33" s="2" t="s">
        <v>24</v>
      </c>
      <c r="B33" s="17">
        <v>111</v>
      </c>
      <c r="C33" s="254">
        <v>1867362</v>
      </c>
      <c r="D33" s="391">
        <v>1.7780000000000001E-2</v>
      </c>
      <c r="E33" s="326">
        <v>15979.81</v>
      </c>
      <c r="F33" s="387" t="s">
        <v>188</v>
      </c>
      <c r="G33" s="146">
        <v>41243</v>
      </c>
      <c r="H33" s="147"/>
      <c r="I33" s="147"/>
      <c r="J33" s="147"/>
    </row>
    <row r="34" spans="1:10" ht="16" hidden="1" thickBot="1">
      <c r="A34" s="2" t="s">
        <v>24</v>
      </c>
      <c r="B34" s="17">
        <v>112</v>
      </c>
      <c r="C34" s="254"/>
      <c r="D34" s="391"/>
      <c r="E34" s="326">
        <v>0</v>
      </c>
      <c r="F34" s="387"/>
      <c r="G34" s="102" t="s">
        <v>216</v>
      </c>
      <c r="H34" s="148"/>
      <c r="I34" s="149" t="s">
        <v>18</v>
      </c>
      <c r="J34" s="150" t="s">
        <v>19</v>
      </c>
    </row>
    <row r="35" spans="1:10" hidden="1">
      <c r="A35" s="2" t="s">
        <v>24</v>
      </c>
      <c r="B35" s="17">
        <v>121</v>
      </c>
      <c r="C35" s="254"/>
      <c r="D35" s="221"/>
      <c r="E35" s="326">
        <v>0</v>
      </c>
      <c r="F35" s="387"/>
      <c r="G35" s="151" t="s">
        <v>28</v>
      </c>
      <c r="H35" s="152" t="s">
        <v>77</v>
      </c>
      <c r="I35" s="108"/>
      <c r="J35" s="396">
        <v>0</v>
      </c>
    </row>
    <row r="36" spans="1:10" hidden="1">
      <c r="A36" s="2" t="s">
        <v>24</v>
      </c>
      <c r="B36" s="17">
        <v>122</v>
      </c>
      <c r="C36" s="255"/>
      <c r="D36" s="221"/>
      <c r="E36" s="326">
        <v>0</v>
      </c>
      <c r="F36" s="387"/>
      <c r="G36" s="153" t="s">
        <v>29</v>
      </c>
      <c r="H36" s="7" t="s">
        <v>78</v>
      </c>
      <c r="I36" s="397">
        <v>940.16</v>
      </c>
      <c r="J36" s="223"/>
    </row>
    <row r="37" spans="1:10" hidden="1">
      <c r="A37" s="2" t="s">
        <v>24</v>
      </c>
      <c r="B37" s="17">
        <v>131</v>
      </c>
      <c r="C37" s="254">
        <v>0</v>
      </c>
      <c r="D37" s="391">
        <v>1.6570000000000001E-2</v>
      </c>
      <c r="E37" s="326">
        <v>0</v>
      </c>
      <c r="F37" s="387"/>
      <c r="G37" s="153" t="s">
        <v>99</v>
      </c>
      <c r="H37" s="7" t="s">
        <v>60</v>
      </c>
      <c r="I37" s="8"/>
      <c r="J37" s="98">
        <v>-90758.61</v>
      </c>
    </row>
    <row r="38" spans="1:10" hidden="1">
      <c r="A38" s="2" t="s">
        <v>24</v>
      </c>
      <c r="B38" s="17">
        <v>132</v>
      </c>
      <c r="C38" s="255"/>
      <c r="D38" s="121"/>
      <c r="E38" s="326">
        <v>0</v>
      </c>
      <c r="F38" s="387"/>
      <c r="G38" s="153" t="s">
        <v>10</v>
      </c>
      <c r="H38" s="7" t="s">
        <v>58</v>
      </c>
      <c r="I38" s="7">
        <v>0</v>
      </c>
      <c r="J38" s="109"/>
    </row>
    <row r="39" spans="1:10" ht="16" hidden="1" thickBot="1">
      <c r="A39" s="2" t="s">
        <v>24</v>
      </c>
      <c r="B39" s="17" t="s">
        <v>61</v>
      </c>
      <c r="C39" s="255"/>
      <c r="D39" s="121"/>
      <c r="E39" s="326">
        <v>0</v>
      </c>
      <c r="F39" s="387"/>
      <c r="G39" s="154" t="s">
        <v>100</v>
      </c>
      <c r="H39" s="147" t="s">
        <v>62</v>
      </c>
      <c r="I39" s="110">
        <v>89818.450000000186</v>
      </c>
      <c r="J39" s="107">
        <v>0</v>
      </c>
    </row>
    <row r="40" spans="1:10" hidden="1">
      <c r="A40" s="2" t="s">
        <v>156</v>
      </c>
      <c r="B40" s="70"/>
      <c r="C40" s="253"/>
      <c r="D40" s="136"/>
      <c r="E40" s="327">
        <v>0</v>
      </c>
      <c r="F40" s="387"/>
      <c r="G40" s="7"/>
      <c r="H40" s="7"/>
      <c r="I40" s="8"/>
      <c r="J40" s="262">
        <v>0</v>
      </c>
    </row>
    <row r="41" spans="1:10" ht="16" hidden="1" thickBot="1">
      <c r="A41" s="386"/>
      <c r="B41" s="6"/>
      <c r="C41" s="256">
        <v>7903774</v>
      </c>
      <c r="D41" s="155"/>
      <c r="E41" s="328">
        <v>90936.58</v>
      </c>
      <c r="F41" s="387"/>
      <c r="G41" s="7"/>
      <c r="H41" s="7"/>
      <c r="I41" s="7"/>
      <c r="J41" s="7"/>
    </row>
    <row r="42" spans="1:10" ht="16" hidden="1" thickTop="1">
      <c r="A42" s="386"/>
      <c r="B42" s="6"/>
      <c r="C42" s="257">
        <v>7903774</v>
      </c>
      <c r="D42" s="66" t="s">
        <v>161</v>
      </c>
      <c r="E42" s="329">
        <v>-177.97000000000116</v>
      </c>
      <c r="F42" s="387"/>
      <c r="G42" s="65" t="s">
        <v>158</v>
      </c>
      <c r="H42" s="7"/>
      <c r="I42" s="12"/>
      <c r="J42" s="12"/>
    </row>
    <row r="43" spans="1:10" hidden="1">
      <c r="A43" s="386"/>
      <c r="B43" s="386"/>
      <c r="C43" s="319">
        <v>0</v>
      </c>
      <c r="D43" s="66" t="s">
        <v>87</v>
      </c>
      <c r="E43" s="328">
        <v>-1082906.846276029</v>
      </c>
      <c r="F43" s="387"/>
      <c r="G43" s="8">
        <v>-940.16430523002441</v>
      </c>
      <c r="H43" s="7"/>
      <c r="I43" s="8"/>
      <c r="J43" s="10"/>
    </row>
    <row r="44" spans="1:10" hidden="1">
      <c r="A44" s="386"/>
      <c r="B44" s="386"/>
      <c r="C44" s="50"/>
      <c r="D44" s="226">
        <v>0.01</v>
      </c>
      <c r="E44" s="330">
        <v>-940.16</v>
      </c>
      <c r="F44" s="387"/>
      <c r="G44" s="65"/>
      <c r="H44" s="7"/>
      <c r="I44" s="10"/>
      <c r="J44" s="10"/>
    </row>
    <row r="45" spans="1:10" ht="16" hidden="1" thickBot="1">
      <c r="A45" s="5"/>
      <c r="B45" s="5"/>
      <c r="C45" s="50" t="s">
        <v>1</v>
      </c>
      <c r="D45" s="143">
        <v>41243</v>
      </c>
      <c r="E45" s="331">
        <v>-1083847.0062760289</v>
      </c>
      <c r="F45" s="387"/>
      <c r="G45" s="7"/>
      <c r="H45" s="7"/>
      <c r="I45" s="8"/>
      <c r="J45" s="7"/>
    </row>
    <row r="46" spans="1:10" s="386" customFormat="1" ht="16.5" hidden="1" thickTop="1" thickBot="1">
      <c r="E46" s="322"/>
    </row>
    <row r="47" spans="1:10" s="386" customFormat="1" hidden="1">
      <c r="A47" s="73" t="s">
        <v>142</v>
      </c>
      <c r="B47" s="74"/>
      <c r="C47" s="75"/>
      <c r="D47" s="76"/>
      <c r="E47" s="323"/>
      <c r="G47" s="16"/>
      <c r="H47" s="5"/>
      <c r="I47" s="56"/>
      <c r="J47" s="56"/>
    </row>
    <row r="48" spans="1:10" s="386" customFormat="1" hidden="1">
      <c r="A48" s="220" t="s">
        <v>221</v>
      </c>
      <c r="B48" s="71"/>
      <c r="C48" s="16"/>
      <c r="D48" s="72" t="s">
        <v>23</v>
      </c>
      <c r="E48" s="324" t="s">
        <v>21</v>
      </c>
      <c r="G48" s="5"/>
      <c r="H48" s="5"/>
      <c r="I48" s="8"/>
      <c r="J48" s="10"/>
    </row>
    <row r="49" spans="1:10" s="386" customFormat="1" ht="16" hidden="1" thickBot="1">
      <c r="A49" s="14"/>
      <c r="B49" s="18"/>
      <c r="C49" s="131" t="s">
        <v>21</v>
      </c>
      <c r="D49" s="131" t="s">
        <v>22</v>
      </c>
      <c r="E49" s="325" t="s">
        <v>23</v>
      </c>
      <c r="F49" s="387"/>
      <c r="G49" s="7"/>
      <c r="H49" s="7"/>
      <c r="I49" s="10"/>
      <c r="J49" s="10"/>
    </row>
    <row r="50" spans="1:10" s="386" customFormat="1" hidden="1">
      <c r="A50" s="2" t="s">
        <v>24</v>
      </c>
      <c r="B50" s="17">
        <v>101</v>
      </c>
      <c r="C50" s="254">
        <v>6036412</v>
      </c>
      <c r="D50" s="391">
        <v>1.7780000000000001E-2</v>
      </c>
      <c r="E50" s="326">
        <v>107587.32</v>
      </c>
      <c r="F50" s="387" t="s">
        <v>188</v>
      </c>
      <c r="G50" s="7"/>
      <c r="H50" s="7"/>
      <c r="I50" s="8"/>
      <c r="J50" s="7"/>
    </row>
    <row r="51" spans="1:10" s="386" customFormat="1" ht="16" hidden="1" thickBot="1">
      <c r="A51" s="2" t="s">
        <v>24</v>
      </c>
      <c r="B51" s="17">
        <v>111</v>
      </c>
      <c r="C51" s="254">
        <v>1867362</v>
      </c>
      <c r="D51" s="391">
        <v>1.7780000000000001E-2</v>
      </c>
      <c r="E51" s="326">
        <v>33861.39</v>
      </c>
      <c r="F51" s="387" t="s">
        <v>188</v>
      </c>
      <c r="G51" s="401" t="str">
        <f>A48</f>
        <v>11-30-2012 - Corrected</v>
      </c>
      <c r="H51" s="402"/>
      <c r="I51" s="402"/>
      <c r="J51" s="402"/>
    </row>
    <row r="52" spans="1:10" s="386" customFormat="1" ht="16" hidden="1" thickBot="1">
      <c r="A52" s="2" t="s">
        <v>24</v>
      </c>
      <c r="B52" s="17">
        <v>112</v>
      </c>
      <c r="C52" s="254"/>
      <c r="D52" s="391"/>
      <c r="E52" s="326">
        <f t="shared" ref="E52:E57" si="0">C52*D52</f>
        <v>0</v>
      </c>
      <c r="F52" s="387"/>
      <c r="G52" s="403" t="s">
        <v>217</v>
      </c>
      <c r="H52" s="404"/>
      <c r="I52" s="405" t="s">
        <v>18</v>
      </c>
      <c r="J52" s="406" t="s">
        <v>19</v>
      </c>
    </row>
    <row r="53" spans="1:10" s="386" customFormat="1" hidden="1">
      <c r="A53" s="2" t="s">
        <v>24</v>
      </c>
      <c r="B53" s="17">
        <v>121</v>
      </c>
      <c r="C53" s="254"/>
      <c r="D53" s="221"/>
      <c r="E53" s="326">
        <f t="shared" si="0"/>
        <v>0</v>
      </c>
      <c r="F53" s="387"/>
      <c r="G53" s="407" t="s">
        <v>28</v>
      </c>
      <c r="H53" s="408" t="s">
        <v>77</v>
      </c>
      <c r="I53" s="409"/>
      <c r="J53" s="410">
        <v>0</v>
      </c>
    </row>
    <row r="54" spans="1:10" s="386" customFormat="1" hidden="1">
      <c r="A54" s="2" t="s">
        <v>24</v>
      </c>
      <c r="B54" s="17">
        <v>122</v>
      </c>
      <c r="C54" s="255"/>
      <c r="D54" s="221"/>
      <c r="E54" s="326">
        <f t="shared" si="0"/>
        <v>0</v>
      </c>
      <c r="F54" s="387"/>
      <c r="G54" s="411" t="s">
        <v>29</v>
      </c>
      <c r="H54" s="412" t="s">
        <v>78</v>
      </c>
      <c r="I54" s="413">
        <v>0</v>
      </c>
      <c r="J54" s="414">
        <f>-E62+E44</f>
        <v>-95.889999999999986</v>
      </c>
    </row>
    <row r="55" spans="1:10" s="386" customFormat="1" hidden="1">
      <c r="A55" s="2" t="s">
        <v>24</v>
      </c>
      <c r="B55" s="17">
        <v>131</v>
      </c>
      <c r="C55" s="254">
        <v>0</v>
      </c>
      <c r="D55" s="391">
        <v>1.6570000000000001E-2</v>
      </c>
      <c r="E55" s="326">
        <f t="shared" si="0"/>
        <v>0</v>
      </c>
      <c r="F55" s="387"/>
      <c r="G55" s="411" t="s">
        <v>99</v>
      </c>
      <c r="H55" s="412" t="s">
        <v>60</v>
      </c>
      <c r="I55" s="332">
        <v>0</v>
      </c>
      <c r="J55" s="415">
        <f>E41-E59</f>
        <v>-50512.130000000019</v>
      </c>
    </row>
    <row r="56" spans="1:10" s="386" customFormat="1" hidden="1">
      <c r="A56" s="2" t="s">
        <v>24</v>
      </c>
      <c r="B56" s="17">
        <v>132</v>
      </c>
      <c r="C56" s="255"/>
      <c r="D56" s="121"/>
      <c r="E56" s="326">
        <f t="shared" si="0"/>
        <v>0</v>
      </c>
      <c r="F56" s="387"/>
      <c r="G56" s="411" t="s">
        <v>10</v>
      </c>
      <c r="H56" s="412" t="s">
        <v>58</v>
      </c>
      <c r="I56" s="412">
        <v>0</v>
      </c>
      <c r="J56" s="416"/>
    </row>
    <row r="57" spans="1:10" s="386" customFormat="1" ht="16" hidden="1" thickBot="1">
      <c r="A57" s="2" t="s">
        <v>24</v>
      </c>
      <c r="B57" s="17" t="s">
        <v>61</v>
      </c>
      <c r="C57" s="255"/>
      <c r="D57" s="121"/>
      <c r="E57" s="326">
        <f t="shared" si="0"/>
        <v>0</v>
      </c>
      <c r="F57" s="387"/>
      <c r="G57" s="417" t="s">
        <v>100</v>
      </c>
      <c r="H57" s="402" t="s">
        <v>62</v>
      </c>
      <c r="I57" s="418">
        <f>-J55-J54</f>
        <v>50608.020000000019</v>
      </c>
      <c r="J57" s="419">
        <v>0</v>
      </c>
    </row>
    <row r="58" spans="1:10" s="386" customFormat="1" hidden="1">
      <c r="A58" s="2" t="s">
        <v>156</v>
      </c>
      <c r="B58" s="70"/>
      <c r="C58" s="253"/>
      <c r="D58" s="136"/>
      <c r="E58" s="327">
        <v>0</v>
      </c>
      <c r="F58" s="387"/>
      <c r="G58" s="412"/>
      <c r="H58" s="412"/>
      <c r="I58" s="332"/>
      <c r="J58" s="332">
        <f>ROUND(SUM(I53:J57),2)</f>
        <v>0</v>
      </c>
    </row>
    <row r="59" spans="1:10" s="386" customFormat="1" ht="16" hidden="1" thickBot="1">
      <c r="B59" s="6"/>
      <c r="C59" s="256">
        <f>SUM(C50:C58)</f>
        <v>7903774</v>
      </c>
      <c r="D59" s="155"/>
      <c r="E59" s="328">
        <f>SUM(E50:E58)</f>
        <v>141448.71000000002</v>
      </c>
      <c r="F59" s="387"/>
      <c r="G59" s="7"/>
      <c r="H59" s="7"/>
      <c r="I59" s="7"/>
      <c r="J59" s="7"/>
    </row>
    <row r="60" spans="1:10" s="386" customFormat="1" ht="16" hidden="1" thickTop="1">
      <c r="B60" s="6"/>
      <c r="C60" s="257">
        <v>7903774</v>
      </c>
      <c r="D60" s="66" t="s">
        <v>161</v>
      </c>
      <c r="E60" s="329">
        <f>47867.72-48045.69</f>
        <v>-177.97000000000116</v>
      </c>
      <c r="F60" s="387"/>
      <c r="G60" s="65" t="s">
        <v>158</v>
      </c>
      <c r="H60" s="7"/>
      <c r="I60" s="12"/>
      <c r="J60" s="12"/>
    </row>
    <row r="61" spans="1:10" s="386" customFormat="1" hidden="1">
      <c r="C61" s="319">
        <f>C59-C60</f>
        <v>0</v>
      </c>
      <c r="D61" s="66" t="s">
        <v>87</v>
      </c>
      <c r="E61" s="328">
        <f>E59+E60+E27</f>
        <v>-1032394.7162760291</v>
      </c>
      <c r="F61" s="387"/>
      <c r="G61" s="8">
        <f>(E45*(D62/12))+(E59*(D62/24))</f>
        <v>-844.26887606335742</v>
      </c>
      <c r="H61" s="7"/>
      <c r="I61" s="8"/>
      <c r="J61" s="10"/>
    </row>
    <row r="62" spans="1:10" s="386" customFormat="1" hidden="1">
      <c r="C62" s="50"/>
      <c r="D62" s="226">
        <v>0.01</v>
      </c>
      <c r="E62" s="330">
        <f>ROUND(((E45)+(E59)/2)*(D62/12),2)</f>
        <v>-844.27</v>
      </c>
      <c r="F62" s="387"/>
      <c r="G62" s="65"/>
      <c r="H62" s="7"/>
      <c r="I62" s="10"/>
      <c r="J62" s="10"/>
    </row>
    <row r="63" spans="1:10" s="386" customFormat="1" ht="16" hidden="1" thickBot="1">
      <c r="A63" s="5"/>
      <c r="B63" s="5"/>
      <c r="C63" s="50" t="s">
        <v>1</v>
      </c>
      <c r="D63" s="143" t="str">
        <f>A48</f>
        <v>11-30-2012 - Corrected</v>
      </c>
      <c r="E63" s="331">
        <f>SUM(E61:E62)</f>
        <v>-1033238.9862760291</v>
      </c>
      <c r="F63" s="387"/>
      <c r="G63" s="7"/>
      <c r="H63" s="7"/>
      <c r="I63" s="8"/>
      <c r="J63" s="7"/>
    </row>
    <row r="64" spans="1:10" s="386" customFormat="1" ht="16.5" hidden="1" thickTop="1" thickBot="1">
      <c r="E64" s="322"/>
    </row>
    <row r="65" spans="1:10" s="386" customFormat="1" hidden="1">
      <c r="A65" s="73" t="s">
        <v>142</v>
      </c>
      <c r="B65" s="74"/>
      <c r="C65" s="75"/>
      <c r="D65" s="76"/>
      <c r="E65" s="323"/>
      <c r="G65" s="16"/>
      <c r="H65" s="5"/>
      <c r="I65" s="56"/>
      <c r="J65" s="56"/>
    </row>
    <row r="66" spans="1:10" s="386" customFormat="1" hidden="1">
      <c r="A66" s="220">
        <v>41274</v>
      </c>
      <c r="B66" s="71"/>
      <c r="C66" s="16"/>
      <c r="D66" s="72" t="s">
        <v>23</v>
      </c>
      <c r="E66" s="324" t="s">
        <v>21</v>
      </c>
      <c r="G66" s="5"/>
      <c r="H66" s="5"/>
      <c r="I66" s="8"/>
      <c r="J66" s="10"/>
    </row>
    <row r="67" spans="1:10" s="386" customFormat="1" ht="16" hidden="1" thickBot="1">
      <c r="A67" s="14"/>
      <c r="B67" s="18"/>
      <c r="C67" s="131" t="s">
        <v>21</v>
      </c>
      <c r="D67" s="131" t="s">
        <v>22</v>
      </c>
      <c r="E67" s="325" t="s">
        <v>23</v>
      </c>
      <c r="F67" s="387"/>
      <c r="G67" s="7"/>
      <c r="H67" s="7"/>
      <c r="I67" s="10"/>
      <c r="J67" s="10"/>
    </row>
    <row r="68" spans="1:10" s="386" customFormat="1" hidden="1">
      <c r="A68" s="2" t="s">
        <v>24</v>
      </c>
      <c r="B68" s="17">
        <v>101</v>
      </c>
      <c r="C68" s="254">
        <v>8220978</v>
      </c>
      <c r="D68" s="391">
        <v>1.7780000000000001E-2</v>
      </c>
      <c r="E68" s="326">
        <f>C68*D68</f>
        <v>146168.98884000001</v>
      </c>
      <c r="F68" s="387"/>
      <c r="G68" s="7"/>
      <c r="H68" s="7"/>
      <c r="I68" s="8"/>
      <c r="J68" s="7"/>
    </row>
    <row r="69" spans="1:10" s="386" customFormat="1" ht="16" hidden="1" thickBot="1">
      <c r="A69" s="2" t="s">
        <v>24</v>
      </c>
      <c r="B69" s="17">
        <v>111</v>
      </c>
      <c r="C69" s="254">
        <v>2679003</v>
      </c>
      <c r="D69" s="391">
        <v>1.7780000000000001E-2</v>
      </c>
      <c r="E69" s="326">
        <f t="shared" ref="E69:E76" si="1">C69*D69</f>
        <v>47632.673340000001</v>
      </c>
      <c r="F69" s="387"/>
      <c r="G69" s="146">
        <f>A66</f>
        <v>41274</v>
      </c>
      <c r="H69" s="147"/>
      <c r="I69" s="147"/>
      <c r="J69" s="147"/>
    </row>
    <row r="70" spans="1:10" s="386" customFormat="1" ht="16" hidden="1" thickBot="1">
      <c r="A70" s="2" t="s">
        <v>24</v>
      </c>
      <c r="B70" s="17">
        <v>112</v>
      </c>
      <c r="C70" s="254"/>
      <c r="D70" s="391"/>
      <c r="E70" s="326">
        <f t="shared" si="1"/>
        <v>0</v>
      </c>
      <c r="F70" s="387"/>
      <c r="G70" s="102" t="s">
        <v>25</v>
      </c>
      <c r="H70" s="148"/>
      <c r="I70" s="149" t="s">
        <v>18</v>
      </c>
      <c r="J70" s="150" t="s">
        <v>19</v>
      </c>
    </row>
    <row r="71" spans="1:10" s="386" customFormat="1" hidden="1">
      <c r="A71" s="2" t="s">
        <v>24</v>
      </c>
      <c r="B71" s="17">
        <v>121</v>
      </c>
      <c r="C71" s="254"/>
      <c r="D71" s="221"/>
      <c r="E71" s="326">
        <f t="shared" si="1"/>
        <v>0</v>
      </c>
      <c r="F71" s="387"/>
      <c r="G71" s="151" t="s">
        <v>28</v>
      </c>
      <c r="H71" s="152" t="s">
        <v>77</v>
      </c>
      <c r="I71" s="108"/>
      <c r="J71" s="396">
        <v>0</v>
      </c>
    </row>
    <row r="72" spans="1:10" s="386" customFormat="1" hidden="1">
      <c r="A72" s="2" t="s">
        <v>24</v>
      </c>
      <c r="B72" s="17">
        <v>122</v>
      </c>
      <c r="C72" s="255"/>
      <c r="D72" s="221"/>
      <c r="E72" s="326">
        <f t="shared" si="1"/>
        <v>0</v>
      </c>
      <c r="F72" s="387"/>
      <c r="G72" s="153" t="s">
        <v>29</v>
      </c>
      <c r="H72" s="7" t="s">
        <v>78</v>
      </c>
      <c r="I72" s="397">
        <f>-E80</f>
        <v>780.28</v>
      </c>
      <c r="J72" s="223"/>
    </row>
    <row r="73" spans="1:10" s="386" customFormat="1" hidden="1">
      <c r="A73" s="2" t="s">
        <v>24</v>
      </c>
      <c r="B73" s="17">
        <v>131</v>
      </c>
      <c r="C73" s="254">
        <v>0</v>
      </c>
      <c r="D73" s="391">
        <v>1.6570000000000001E-2</v>
      </c>
      <c r="E73" s="326">
        <f t="shared" si="1"/>
        <v>0</v>
      </c>
      <c r="F73" s="387"/>
      <c r="G73" s="153" t="s">
        <v>99</v>
      </c>
      <c r="H73" s="7" t="s">
        <v>60</v>
      </c>
      <c r="I73" s="8"/>
      <c r="J73" s="98">
        <f>-E77-E78</f>
        <v>-193801.66218000001</v>
      </c>
    </row>
    <row r="74" spans="1:10" s="386" customFormat="1" hidden="1">
      <c r="A74" s="2" t="s">
        <v>24</v>
      </c>
      <c r="B74" s="17">
        <v>132</v>
      </c>
      <c r="C74" s="255"/>
      <c r="D74" s="121"/>
      <c r="E74" s="326">
        <f t="shared" si="1"/>
        <v>0</v>
      </c>
      <c r="F74" s="387"/>
      <c r="G74" s="153" t="s">
        <v>10</v>
      </c>
      <c r="H74" s="7" t="s">
        <v>58</v>
      </c>
      <c r="I74" s="7">
        <v>0</v>
      </c>
      <c r="J74" s="109"/>
    </row>
    <row r="75" spans="1:10" s="386" customFormat="1" ht="16" hidden="1" thickBot="1">
      <c r="A75" s="2" t="s">
        <v>24</v>
      </c>
      <c r="B75" s="17" t="s">
        <v>61</v>
      </c>
      <c r="C75" s="255"/>
      <c r="D75" s="121"/>
      <c r="E75" s="326">
        <f t="shared" si="1"/>
        <v>0</v>
      </c>
      <c r="F75" s="387"/>
      <c r="G75" s="154" t="s">
        <v>100</v>
      </c>
      <c r="H75" s="147" t="s">
        <v>62</v>
      </c>
      <c r="I75" s="110">
        <f>-E63+E81</f>
        <v>193021.38217999996</v>
      </c>
      <c r="J75" s="107">
        <v>0</v>
      </c>
    </row>
    <row r="76" spans="1:10" s="386" customFormat="1" hidden="1">
      <c r="A76" s="2" t="s">
        <v>156</v>
      </c>
      <c r="B76" s="70"/>
      <c r="C76" s="253"/>
      <c r="D76" s="136"/>
      <c r="E76" s="327">
        <f t="shared" si="1"/>
        <v>0</v>
      </c>
      <c r="F76" s="387"/>
      <c r="G76" s="7"/>
      <c r="H76" s="7"/>
      <c r="I76" s="8"/>
      <c r="J76" s="262">
        <f>ROUND(SUM(I71:J75),2)</f>
        <v>0</v>
      </c>
    </row>
    <row r="77" spans="1:10" s="386" customFormat="1" ht="16" hidden="1" thickBot="1">
      <c r="B77" s="6"/>
      <c r="C77" s="256">
        <f>SUM(C68:C76)</f>
        <v>10899981</v>
      </c>
      <c r="D77" s="155"/>
      <c r="E77" s="328">
        <f>SUM(E68:E76)</f>
        <v>193801.66218000001</v>
      </c>
      <c r="F77" s="387"/>
      <c r="G77" s="7"/>
      <c r="H77" s="7"/>
      <c r="I77" s="7"/>
      <c r="J77" s="7"/>
    </row>
    <row r="78" spans="1:10" s="386" customFormat="1" ht="16" hidden="1" thickTop="1">
      <c r="B78" s="6"/>
      <c r="C78" s="257">
        <v>10899981</v>
      </c>
      <c r="D78" s="66" t="s">
        <v>161</v>
      </c>
      <c r="E78" s="329">
        <v>0</v>
      </c>
      <c r="F78" s="387"/>
      <c r="G78" s="65" t="s">
        <v>158</v>
      </c>
      <c r="H78" s="7"/>
      <c r="I78" s="12"/>
      <c r="J78" s="12"/>
    </row>
    <row r="79" spans="1:10" s="386" customFormat="1" hidden="1">
      <c r="C79" s="319">
        <f>C77-C78</f>
        <v>0</v>
      </c>
      <c r="D79" s="66" t="s">
        <v>87</v>
      </c>
      <c r="E79" s="328">
        <f>E77+E78+E63</f>
        <v>-839437.32409602916</v>
      </c>
      <c r="F79" s="387"/>
      <c r="G79" s="8">
        <f>(E63*(D80/12))+(E77*(D80/24))</f>
        <v>-780.28179598835766</v>
      </c>
      <c r="H79" s="7"/>
      <c r="I79" s="8"/>
      <c r="J79" s="10"/>
    </row>
    <row r="80" spans="1:10" s="386" customFormat="1" hidden="1">
      <c r="C80" s="50"/>
      <c r="D80" s="226">
        <v>0.01</v>
      </c>
      <c r="E80" s="330">
        <f>ROUND(((E63)+(E77)/2)*(D80/12),2)</f>
        <v>-780.28</v>
      </c>
      <c r="F80" s="387"/>
      <c r="G80" s="65"/>
      <c r="H80" s="7"/>
      <c r="I80" s="10"/>
      <c r="J80" s="10"/>
    </row>
    <row r="81" spans="1:10" s="386" customFormat="1" ht="16" hidden="1" thickBot="1">
      <c r="A81" s="5"/>
      <c r="B81" s="5"/>
      <c r="C81" s="50" t="s">
        <v>1</v>
      </c>
      <c r="D81" s="143">
        <f>A66</f>
        <v>41274</v>
      </c>
      <c r="E81" s="331">
        <f>SUM(E79:E80)</f>
        <v>-840217.60409602919</v>
      </c>
      <c r="F81" s="387"/>
      <c r="G81" s="7"/>
      <c r="H81" s="7"/>
      <c r="I81" s="8"/>
      <c r="J81" s="7"/>
    </row>
    <row r="82" spans="1:10" s="386" customFormat="1" ht="16" hidden="1" thickTop="1">
      <c r="E82" s="322"/>
    </row>
    <row r="83" spans="1:10" s="386" customFormat="1" hidden="1">
      <c r="A83" s="73" t="s">
        <v>142</v>
      </c>
      <c r="B83" s="74"/>
      <c r="C83" s="75"/>
      <c r="D83" s="76"/>
      <c r="E83" s="323"/>
      <c r="G83" s="16"/>
      <c r="H83" s="5"/>
      <c r="I83" s="56"/>
      <c r="J83" s="56"/>
    </row>
    <row r="84" spans="1:10" s="386" customFormat="1" hidden="1">
      <c r="A84" s="220">
        <v>41275</v>
      </c>
      <c r="B84" s="71"/>
      <c r="C84" s="16"/>
      <c r="D84" s="72" t="s">
        <v>23</v>
      </c>
      <c r="E84" s="324" t="s">
        <v>21</v>
      </c>
      <c r="G84" s="5"/>
      <c r="H84" s="5"/>
      <c r="I84" s="8"/>
      <c r="J84" s="10"/>
    </row>
    <row r="85" spans="1:10" s="386" customFormat="1" ht="16" hidden="1" thickBot="1">
      <c r="A85" s="14"/>
      <c r="B85" s="18"/>
      <c r="C85" s="131" t="s">
        <v>21</v>
      </c>
      <c r="D85" s="131" t="s">
        <v>22</v>
      </c>
      <c r="E85" s="325" t="s">
        <v>23</v>
      </c>
      <c r="F85" s="387"/>
      <c r="G85" s="7"/>
      <c r="H85" s="7"/>
      <c r="I85" s="10"/>
      <c r="J85" s="10"/>
    </row>
    <row r="86" spans="1:10" s="386" customFormat="1" hidden="1">
      <c r="A86" s="2" t="s">
        <v>24</v>
      </c>
      <c r="B86" s="17">
        <v>101</v>
      </c>
      <c r="C86" s="254">
        <v>9764920</v>
      </c>
      <c r="D86" s="391">
        <v>1.7780000000000001E-2</v>
      </c>
      <c r="E86" s="326">
        <f>C86*D86</f>
        <v>173620.2776</v>
      </c>
      <c r="F86" s="387"/>
      <c r="G86" s="7"/>
      <c r="H86" s="7"/>
      <c r="I86" s="8"/>
      <c r="J86" s="7"/>
    </row>
    <row r="87" spans="1:10" s="386" customFormat="1" ht="16" hidden="1" thickBot="1">
      <c r="A87" s="2" t="s">
        <v>24</v>
      </c>
      <c r="B87" s="17">
        <v>111</v>
      </c>
      <c r="C87" s="254">
        <v>3069039</v>
      </c>
      <c r="D87" s="391">
        <v>1.7780000000000001E-2</v>
      </c>
      <c r="E87" s="326">
        <f>C87*D87</f>
        <v>54567.513420000003</v>
      </c>
      <c r="F87" s="387"/>
      <c r="G87" s="146">
        <f>A84</f>
        <v>41275</v>
      </c>
      <c r="H87" s="147"/>
      <c r="I87" s="147"/>
      <c r="J87" s="147"/>
    </row>
    <row r="88" spans="1:10" s="386" customFormat="1" ht="16" hidden="1" thickBot="1">
      <c r="A88" s="2" t="s">
        <v>24</v>
      </c>
      <c r="B88" s="17">
        <v>112</v>
      </c>
      <c r="C88" s="254"/>
      <c r="D88" s="391"/>
      <c r="E88" s="326">
        <f t="shared" ref="E88:E94" si="2">C88*D88</f>
        <v>0</v>
      </c>
      <c r="F88" s="387"/>
      <c r="G88" s="102" t="s">
        <v>25</v>
      </c>
      <c r="H88" s="148"/>
      <c r="I88" s="149" t="s">
        <v>18</v>
      </c>
      <c r="J88" s="150" t="s">
        <v>19</v>
      </c>
    </row>
    <row r="89" spans="1:10" s="386" customFormat="1" hidden="1">
      <c r="A89" s="2" t="s">
        <v>24</v>
      </c>
      <c r="B89" s="17">
        <v>121</v>
      </c>
      <c r="C89" s="254"/>
      <c r="D89" s="221"/>
      <c r="E89" s="326">
        <f t="shared" si="2"/>
        <v>0</v>
      </c>
      <c r="F89" s="387"/>
      <c r="G89" s="151" t="s">
        <v>28</v>
      </c>
      <c r="H89" s="152" t="s">
        <v>77</v>
      </c>
      <c r="I89" s="108"/>
      <c r="J89" s="396">
        <v>0</v>
      </c>
    </row>
    <row r="90" spans="1:10" s="386" customFormat="1" hidden="1">
      <c r="A90" s="2" t="s">
        <v>24</v>
      </c>
      <c r="B90" s="17">
        <v>122</v>
      </c>
      <c r="C90" s="255"/>
      <c r="D90" s="221"/>
      <c r="E90" s="326">
        <f t="shared" si="2"/>
        <v>0</v>
      </c>
      <c r="F90" s="387"/>
      <c r="G90" s="153" t="s">
        <v>29</v>
      </c>
      <c r="H90" s="7" t="s">
        <v>78</v>
      </c>
      <c r="I90" s="397">
        <f>-E98</f>
        <v>605.1</v>
      </c>
      <c r="J90" s="223"/>
    </row>
    <row r="91" spans="1:10" s="386" customFormat="1" hidden="1">
      <c r="A91" s="2" t="s">
        <v>24</v>
      </c>
      <c r="B91" s="17">
        <v>131</v>
      </c>
      <c r="C91" s="254">
        <v>0</v>
      </c>
      <c r="D91" s="391">
        <v>1.6570000000000001E-2</v>
      </c>
      <c r="E91" s="326">
        <f>C91*D91</f>
        <v>0</v>
      </c>
      <c r="F91" s="387"/>
      <c r="G91" s="153" t="s">
        <v>99</v>
      </c>
      <c r="H91" s="7" t="s">
        <v>60</v>
      </c>
      <c r="I91" s="8"/>
      <c r="J91" s="98">
        <f>-E95-E96</f>
        <v>-228187.79102</v>
      </c>
    </row>
    <row r="92" spans="1:10" s="386" customFormat="1" hidden="1">
      <c r="A92" s="2" t="s">
        <v>24</v>
      </c>
      <c r="B92" s="17">
        <v>132</v>
      </c>
      <c r="C92" s="255"/>
      <c r="D92" s="121"/>
      <c r="E92" s="326">
        <f t="shared" si="2"/>
        <v>0</v>
      </c>
      <c r="F92" s="387"/>
      <c r="G92" s="153" t="s">
        <v>10</v>
      </c>
      <c r="H92" s="7" t="s">
        <v>58</v>
      </c>
      <c r="I92" s="7">
        <v>0</v>
      </c>
      <c r="J92" s="109"/>
    </row>
    <row r="93" spans="1:10" s="386" customFormat="1" ht="16" hidden="1" thickBot="1">
      <c r="A93" s="2" t="s">
        <v>24</v>
      </c>
      <c r="B93" s="17" t="s">
        <v>61</v>
      </c>
      <c r="C93" s="255"/>
      <c r="D93" s="121"/>
      <c r="E93" s="326">
        <f t="shared" si="2"/>
        <v>0</v>
      </c>
      <c r="F93" s="387"/>
      <c r="G93" s="154" t="s">
        <v>100</v>
      </c>
      <c r="H93" s="147" t="s">
        <v>62</v>
      </c>
      <c r="I93" s="110">
        <f>-E81+E99</f>
        <v>227582.69102000003</v>
      </c>
      <c r="J93" s="107">
        <v>0</v>
      </c>
    </row>
    <row r="94" spans="1:10" s="386" customFormat="1" hidden="1">
      <c r="A94" s="2" t="s">
        <v>156</v>
      </c>
      <c r="B94" s="70"/>
      <c r="C94" s="253"/>
      <c r="D94" s="136"/>
      <c r="E94" s="327">
        <f t="shared" si="2"/>
        <v>0</v>
      </c>
      <c r="F94" s="387"/>
      <c r="G94" s="7"/>
      <c r="H94" s="7"/>
      <c r="I94" s="8"/>
      <c r="J94" s="262">
        <f>ROUND(SUM(I89:J93),2)</f>
        <v>0</v>
      </c>
    </row>
    <row r="95" spans="1:10" s="386" customFormat="1" ht="16" hidden="1" thickBot="1">
      <c r="B95" s="6"/>
      <c r="C95" s="256">
        <f>SUM(C86:C94)</f>
        <v>12833959</v>
      </c>
      <c r="D95" s="155"/>
      <c r="E95" s="328">
        <f>SUM(E86:E94)</f>
        <v>228187.79102</v>
      </c>
      <c r="F95" s="387"/>
      <c r="G95" s="7"/>
      <c r="H95" s="7"/>
      <c r="I95" s="7"/>
      <c r="J95" s="7"/>
    </row>
    <row r="96" spans="1:10" s="386" customFormat="1" ht="16" hidden="1" thickTop="1">
      <c r="B96" s="6"/>
      <c r="C96" s="257">
        <v>12833959</v>
      </c>
      <c r="D96" s="66" t="s">
        <v>161</v>
      </c>
      <c r="E96" s="329">
        <v>0</v>
      </c>
      <c r="F96" s="387"/>
      <c r="G96" s="65" t="s">
        <v>158</v>
      </c>
      <c r="H96" s="7"/>
      <c r="I96" s="12"/>
      <c r="J96" s="12"/>
    </row>
    <row r="97" spans="1:10" s="386" customFormat="1" hidden="1">
      <c r="C97" s="319">
        <f>C95-C96</f>
        <v>0</v>
      </c>
      <c r="D97" s="66" t="s">
        <v>87</v>
      </c>
      <c r="E97" s="328">
        <f>E95+E96+E81</f>
        <v>-612029.81307602918</v>
      </c>
      <c r="F97" s="387"/>
      <c r="G97" s="8">
        <f>(E81*(D98/12))+(E95*(D98/24))</f>
        <v>-605.10309048835768</v>
      </c>
      <c r="H97" s="7"/>
      <c r="I97" s="8"/>
      <c r="J97" s="10"/>
    </row>
    <row r="98" spans="1:10" s="386" customFormat="1" hidden="1">
      <c r="C98" s="50"/>
      <c r="D98" s="226">
        <v>0.01</v>
      </c>
      <c r="E98" s="330">
        <f>ROUND(((E81)+(E95)/2)*(D98/12),2)</f>
        <v>-605.1</v>
      </c>
      <c r="F98" s="387"/>
      <c r="G98" s="65"/>
      <c r="H98" s="7"/>
      <c r="I98" s="10"/>
      <c r="J98" s="10"/>
    </row>
    <row r="99" spans="1:10" s="386" customFormat="1" ht="16" hidden="1" thickBot="1">
      <c r="A99" s="5"/>
      <c r="B99" s="5"/>
      <c r="C99" s="50" t="s">
        <v>1</v>
      </c>
      <c r="D99" s="143">
        <f>A84</f>
        <v>41275</v>
      </c>
      <c r="E99" s="331">
        <f>SUM(E97:E98)</f>
        <v>-612634.91307602916</v>
      </c>
      <c r="F99" s="387"/>
      <c r="G99" s="7"/>
      <c r="H99" s="7"/>
      <c r="I99" s="8"/>
      <c r="J99" s="7"/>
    </row>
    <row r="100" spans="1:10" s="386" customFormat="1" ht="16.5" hidden="1" thickTop="1" thickBot="1">
      <c r="E100" s="322"/>
    </row>
    <row r="101" spans="1:10" s="386" customFormat="1" hidden="1">
      <c r="A101" s="73" t="s">
        <v>142</v>
      </c>
      <c r="B101" s="74"/>
      <c r="C101" s="75"/>
      <c r="D101" s="76"/>
      <c r="E101" s="323"/>
      <c r="G101" s="16"/>
      <c r="H101" s="5"/>
      <c r="I101" s="56"/>
      <c r="J101" s="56"/>
    </row>
    <row r="102" spans="1:10" s="386" customFormat="1" hidden="1">
      <c r="A102" s="220">
        <v>41333</v>
      </c>
      <c r="B102" s="71"/>
      <c r="C102" s="16"/>
      <c r="D102" s="72" t="s">
        <v>23</v>
      </c>
      <c r="E102" s="324" t="s">
        <v>21</v>
      </c>
      <c r="G102" s="5"/>
      <c r="H102" s="5"/>
      <c r="I102" s="8"/>
      <c r="J102" s="10"/>
    </row>
    <row r="103" spans="1:10" s="386" customFormat="1" ht="16" hidden="1" thickBot="1">
      <c r="A103" s="14"/>
      <c r="B103" s="18"/>
      <c r="C103" s="131" t="s">
        <v>21</v>
      </c>
      <c r="D103" s="131" t="s">
        <v>22</v>
      </c>
      <c r="E103" s="325" t="s">
        <v>23</v>
      </c>
      <c r="F103" s="387"/>
      <c r="G103" s="7"/>
      <c r="H103" s="7"/>
      <c r="I103" s="10"/>
      <c r="J103" s="10"/>
    </row>
    <row r="104" spans="1:10" s="386" customFormat="1" hidden="1">
      <c r="A104" s="2" t="s">
        <v>24</v>
      </c>
      <c r="B104" s="17">
        <v>101</v>
      </c>
      <c r="C104" s="254">
        <v>6162035</v>
      </c>
      <c r="D104" s="391">
        <v>1.7780000000000001E-2</v>
      </c>
      <c r="E104" s="326">
        <f>C104*D104</f>
        <v>109560.9823</v>
      </c>
      <c r="F104" s="387"/>
      <c r="G104" s="7"/>
      <c r="H104" s="7"/>
      <c r="I104" s="8"/>
      <c r="J104" s="7"/>
    </row>
    <row r="105" spans="1:10" s="386" customFormat="1" ht="16" hidden="1" thickBot="1">
      <c r="A105" s="2" t="s">
        <v>24</v>
      </c>
      <c r="B105" s="17">
        <v>111</v>
      </c>
      <c r="C105" s="254">
        <v>2375460</v>
      </c>
      <c r="D105" s="391">
        <v>1.7780000000000001E-2</v>
      </c>
      <c r="E105" s="326">
        <f>C105*D105</f>
        <v>42235.678800000002</v>
      </c>
      <c r="F105" s="387"/>
      <c r="G105" s="146">
        <f>A102</f>
        <v>41333</v>
      </c>
      <c r="H105" s="147"/>
      <c r="I105" s="147"/>
      <c r="J105" s="147"/>
    </row>
    <row r="106" spans="1:10" s="386" customFormat="1" ht="16" hidden="1" thickBot="1">
      <c r="A106" s="2" t="s">
        <v>24</v>
      </c>
      <c r="B106" s="17">
        <v>112</v>
      </c>
      <c r="C106" s="254"/>
      <c r="D106" s="391"/>
      <c r="E106" s="326">
        <f t="shared" ref="E106:E108" si="3">C106*D106</f>
        <v>0</v>
      </c>
      <c r="F106" s="387"/>
      <c r="G106" s="102" t="s">
        <v>25</v>
      </c>
      <c r="H106" s="148"/>
      <c r="I106" s="149" t="s">
        <v>18</v>
      </c>
      <c r="J106" s="150" t="s">
        <v>19</v>
      </c>
    </row>
    <row r="107" spans="1:10" s="386" customFormat="1" hidden="1">
      <c r="A107" s="2" t="s">
        <v>24</v>
      </c>
      <c r="B107" s="17">
        <v>121</v>
      </c>
      <c r="C107" s="254"/>
      <c r="D107" s="221"/>
      <c r="E107" s="326">
        <f t="shared" si="3"/>
        <v>0</v>
      </c>
      <c r="F107" s="387"/>
      <c r="G107" s="151" t="s">
        <v>28</v>
      </c>
      <c r="H107" s="152" t="s">
        <v>77</v>
      </c>
      <c r="I107" s="108"/>
      <c r="J107" s="396">
        <v>0</v>
      </c>
    </row>
    <row r="108" spans="1:10" s="386" customFormat="1" hidden="1">
      <c r="A108" s="2" t="s">
        <v>24</v>
      </c>
      <c r="B108" s="17">
        <v>122</v>
      </c>
      <c r="C108" s="255"/>
      <c r="D108" s="221"/>
      <c r="E108" s="326">
        <f t="shared" si="3"/>
        <v>0</v>
      </c>
      <c r="F108" s="387"/>
      <c r="G108" s="153" t="s">
        <v>29</v>
      </c>
      <c r="H108" s="7" t="s">
        <v>78</v>
      </c>
      <c r="I108" s="397">
        <f>-E116</f>
        <v>447.28</v>
      </c>
      <c r="J108" s="223"/>
    </row>
    <row r="109" spans="1:10" s="386" customFormat="1" hidden="1">
      <c r="A109" s="2" t="s">
        <v>24</v>
      </c>
      <c r="B109" s="17">
        <v>131</v>
      </c>
      <c r="C109" s="254">
        <v>0</v>
      </c>
      <c r="D109" s="391">
        <v>1.6570000000000001E-2</v>
      </c>
      <c r="E109" s="326">
        <f>C109*D109</f>
        <v>0</v>
      </c>
      <c r="F109" s="387"/>
      <c r="G109" s="153" t="s">
        <v>99</v>
      </c>
      <c r="H109" s="7" t="s">
        <v>60</v>
      </c>
      <c r="I109" s="8"/>
      <c r="J109" s="98">
        <f>-E113-E114</f>
        <v>-151796.6611</v>
      </c>
    </row>
    <row r="110" spans="1:10" s="386" customFormat="1" hidden="1">
      <c r="A110" s="2" t="s">
        <v>24</v>
      </c>
      <c r="B110" s="17">
        <v>132</v>
      </c>
      <c r="C110" s="255"/>
      <c r="D110" s="121"/>
      <c r="E110" s="326">
        <f t="shared" ref="E110:E112" si="4">C110*D110</f>
        <v>0</v>
      </c>
      <c r="F110" s="387"/>
      <c r="G110" s="153" t="s">
        <v>10</v>
      </c>
      <c r="H110" s="7" t="s">
        <v>58</v>
      </c>
      <c r="I110" s="7">
        <v>0</v>
      </c>
      <c r="J110" s="109"/>
    </row>
    <row r="111" spans="1:10" s="386" customFormat="1" ht="16" hidden="1" thickBot="1">
      <c r="A111" s="2" t="s">
        <v>24</v>
      </c>
      <c r="B111" s="17" t="s">
        <v>61</v>
      </c>
      <c r="C111" s="255"/>
      <c r="D111" s="121"/>
      <c r="E111" s="326">
        <f t="shared" si="4"/>
        <v>0</v>
      </c>
      <c r="F111" s="387"/>
      <c r="G111" s="154" t="s">
        <v>100</v>
      </c>
      <c r="H111" s="147" t="s">
        <v>62</v>
      </c>
      <c r="I111" s="110">
        <f>-E99+E117</f>
        <v>151349.3811</v>
      </c>
      <c r="J111" s="107">
        <v>0</v>
      </c>
    </row>
    <row r="112" spans="1:10" s="386" customFormat="1" hidden="1">
      <c r="A112" s="2" t="s">
        <v>156</v>
      </c>
      <c r="B112" s="70"/>
      <c r="C112" s="253"/>
      <c r="D112" s="136"/>
      <c r="E112" s="327">
        <f t="shared" si="4"/>
        <v>0</v>
      </c>
      <c r="F112" s="387"/>
      <c r="G112" s="7"/>
      <c r="H112" s="7"/>
      <c r="I112" s="8"/>
      <c r="J112" s="262">
        <f>ROUND(SUM(I107:J111),2)</f>
        <v>0</v>
      </c>
    </row>
    <row r="113" spans="1:10" s="386" customFormat="1" ht="16" hidden="1" thickBot="1">
      <c r="B113" s="6"/>
      <c r="C113" s="256">
        <f>SUM(C104:C112)</f>
        <v>8537495</v>
      </c>
      <c r="D113" s="155"/>
      <c r="E113" s="328">
        <f>SUM(E104:E112)</f>
        <v>151796.6611</v>
      </c>
      <c r="F113" s="387"/>
      <c r="G113" s="7"/>
      <c r="H113" s="7"/>
      <c r="I113" s="7"/>
      <c r="J113" s="7"/>
    </row>
    <row r="114" spans="1:10" s="386" customFormat="1" ht="16" hidden="1" thickTop="1">
      <c r="B114" s="6"/>
      <c r="C114" s="257">
        <v>8537495</v>
      </c>
      <c r="D114" s="66" t="s">
        <v>161</v>
      </c>
      <c r="E114" s="329">
        <v>0</v>
      </c>
      <c r="F114" s="387"/>
      <c r="G114" s="65" t="s">
        <v>158</v>
      </c>
      <c r="H114" s="7"/>
      <c r="I114" s="12"/>
      <c r="J114" s="12"/>
    </row>
    <row r="115" spans="1:10" s="386" customFormat="1" hidden="1">
      <c r="C115" s="319">
        <f>C113-C114</f>
        <v>0</v>
      </c>
      <c r="D115" s="66" t="s">
        <v>87</v>
      </c>
      <c r="E115" s="328">
        <f>E113+E114+E99</f>
        <v>-460838.25197602913</v>
      </c>
      <c r="F115" s="387"/>
      <c r="G115" s="8">
        <f>(E99*(D116/12))+(E113*(D116/24))</f>
        <v>-447.28048543835769</v>
      </c>
      <c r="H115" s="7"/>
      <c r="I115" s="8"/>
      <c r="J115" s="10"/>
    </row>
    <row r="116" spans="1:10" s="386" customFormat="1" hidden="1">
      <c r="C116" s="50"/>
      <c r="D116" s="226">
        <v>0.01</v>
      </c>
      <c r="E116" s="330">
        <f>ROUND(((E99)+(E113)/2)*(D116/12),2)</f>
        <v>-447.28</v>
      </c>
      <c r="F116" s="387"/>
      <c r="G116" s="65"/>
      <c r="H116" s="7"/>
      <c r="I116" s="10"/>
      <c r="J116" s="10"/>
    </row>
    <row r="117" spans="1:10" s="386" customFormat="1" ht="16" hidden="1" thickBot="1">
      <c r="A117" s="5"/>
      <c r="B117" s="5"/>
      <c r="C117" s="50" t="s">
        <v>1</v>
      </c>
      <c r="D117" s="143">
        <f>A102</f>
        <v>41333</v>
      </c>
      <c r="E117" s="331">
        <f>SUM(E115:E116)</f>
        <v>-461285.53197602916</v>
      </c>
      <c r="F117" s="387"/>
      <c r="G117" s="7"/>
      <c r="H117" s="7"/>
      <c r="I117" s="8"/>
      <c r="J117" s="7"/>
    </row>
    <row r="118" spans="1:10" s="386" customFormat="1" ht="16.5" hidden="1" thickTop="1" thickBot="1">
      <c r="E118" s="322"/>
    </row>
    <row r="119" spans="1:10" s="386" customFormat="1" hidden="1">
      <c r="A119" s="73" t="s">
        <v>142</v>
      </c>
      <c r="B119" s="74"/>
      <c r="C119" s="75"/>
      <c r="D119" s="76"/>
      <c r="E119" s="323"/>
      <c r="G119" s="16"/>
      <c r="H119" s="5"/>
      <c r="I119" s="56"/>
      <c r="J119" s="56"/>
    </row>
    <row r="120" spans="1:10" s="386" customFormat="1" hidden="1">
      <c r="A120" s="220">
        <v>41364</v>
      </c>
      <c r="B120" s="71"/>
      <c r="C120" s="16"/>
      <c r="D120" s="72" t="s">
        <v>23</v>
      </c>
      <c r="E120" s="324" t="s">
        <v>21</v>
      </c>
      <c r="G120" s="5"/>
      <c r="H120" s="5"/>
      <c r="I120" s="8"/>
      <c r="J120" s="10"/>
    </row>
    <row r="121" spans="1:10" s="386" customFormat="1" ht="16" hidden="1" thickBot="1">
      <c r="A121" s="14"/>
      <c r="B121" s="18"/>
      <c r="C121" s="131" t="s">
        <v>21</v>
      </c>
      <c r="D121" s="131" t="s">
        <v>22</v>
      </c>
      <c r="E121" s="325" t="s">
        <v>23</v>
      </c>
      <c r="F121" s="387"/>
      <c r="G121" s="7"/>
      <c r="H121" s="7"/>
      <c r="I121" s="10"/>
      <c r="J121" s="10"/>
    </row>
    <row r="122" spans="1:10" s="386" customFormat="1" hidden="1">
      <c r="A122" s="2" t="s">
        <v>24</v>
      </c>
      <c r="B122" s="17">
        <v>101</v>
      </c>
      <c r="C122" s="254">
        <v>6046642</v>
      </c>
      <c r="D122" s="391">
        <v>1.7780000000000001E-2</v>
      </c>
      <c r="E122" s="326">
        <v>107509.29476</v>
      </c>
      <c r="F122" s="387"/>
      <c r="G122" s="7"/>
      <c r="H122" s="7"/>
      <c r="I122" s="8"/>
      <c r="J122" s="7"/>
    </row>
    <row r="123" spans="1:10" s="386" customFormat="1" ht="16" hidden="1" thickBot="1">
      <c r="A123" s="2" t="s">
        <v>24</v>
      </c>
      <c r="B123" s="17">
        <v>111</v>
      </c>
      <c r="C123" s="254">
        <v>2214620</v>
      </c>
      <c r="D123" s="391">
        <v>1.7780000000000001E-2</v>
      </c>
      <c r="E123" s="326">
        <v>39375.943599999999</v>
      </c>
      <c r="F123" s="387"/>
      <c r="G123" s="146">
        <f>A120</f>
        <v>41364</v>
      </c>
      <c r="H123" s="147"/>
      <c r="I123" s="147"/>
      <c r="J123" s="147"/>
    </row>
    <row r="124" spans="1:10" s="386" customFormat="1" ht="16" hidden="1" thickBot="1">
      <c r="A124" s="2" t="s">
        <v>24</v>
      </c>
      <c r="B124" s="17">
        <v>112</v>
      </c>
      <c r="C124" s="254"/>
      <c r="D124" s="391"/>
      <c r="E124" s="326">
        <v>0</v>
      </c>
      <c r="F124" s="387"/>
      <c r="G124" s="102" t="s">
        <v>25</v>
      </c>
      <c r="H124" s="148"/>
      <c r="I124" s="149" t="s">
        <v>18</v>
      </c>
      <c r="J124" s="150" t="s">
        <v>19</v>
      </c>
    </row>
    <row r="125" spans="1:10" s="386" customFormat="1" hidden="1">
      <c r="A125" s="2" t="s">
        <v>24</v>
      </c>
      <c r="B125" s="17">
        <v>121</v>
      </c>
      <c r="C125" s="254"/>
      <c r="D125" s="221"/>
      <c r="E125" s="326">
        <v>0</v>
      </c>
      <c r="F125" s="387"/>
      <c r="G125" s="151" t="s">
        <v>28</v>
      </c>
      <c r="H125" s="152" t="s">
        <v>77</v>
      </c>
      <c r="I125" s="108"/>
      <c r="J125" s="396">
        <v>0</v>
      </c>
    </row>
    <row r="126" spans="1:10" s="386" customFormat="1" hidden="1">
      <c r="A126" s="2" t="s">
        <v>24</v>
      </c>
      <c r="B126" s="17">
        <v>122</v>
      </c>
      <c r="C126" s="255"/>
      <c r="D126" s="221"/>
      <c r="E126" s="326">
        <v>0</v>
      </c>
      <c r="F126" s="387"/>
      <c r="G126" s="153" t="s">
        <v>29</v>
      </c>
      <c r="H126" s="7" t="s">
        <v>78</v>
      </c>
      <c r="I126" s="397">
        <f>-E134</f>
        <v>323.2</v>
      </c>
      <c r="J126" s="223"/>
    </row>
    <row r="127" spans="1:10" s="386" customFormat="1" hidden="1">
      <c r="A127" s="2" t="s">
        <v>24</v>
      </c>
      <c r="B127" s="17">
        <v>131</v>
      </c>
      <c r="C127" s="254">
        <v>0</v>
      </c>
      <c r="D127" s="391">
        <v>1.6570000000000001E-2</v>
      </c>
      <c r="E127" s="326">
        <v>0</v>
      </c>
      <c r="F127" s="387"/>
      <c r="G127" s="153" t="s">
        <v>99</v>
      </c>
      <c r="H127" s="7" t="s">
        <v>60</v>
      </c>
      <c r="I127" s="8"/>
      <c r="J127" s="98">
        <f>-E131-E132</f>
        <v>-146885.23836000002</v>
      </c>
    </row>
    <row r="128" spans="1:10" s="386" customFormat="1" hidden="1">
      <c r="A128" s="2" t="s">
        <v>24</v>
      </c>
      <c r="B128" s="17">
        <v>132</v>
      </c>
      <c r="C128" s="255"/>
      <c r="D128" s="121"/>
      <c r="E128" s="326">
        <v>0</v>
      </c>
      <c r="F128" s="387"/>
      <c r="G128" s="153" t="s">
        <v>10</v>
      </c>
      <c r="H128" s="7" t="s">
        <v>58</v>
      </c>
      <c r="I128" s="7">
        <v>0</v>
      </c>
      <c r="J128" s="109"/>
    </row>
    <row r="129" spans="1:10" s="386" customFormat="1" ht="16" hidden="1" thickBot="1">
      <c r="A129" s="2" t="s">
        <v>24</v>
      </c>
      <c r="B129" s="17" t="s">
        <v>61</v>
      </c>
      <c r="C129" s="255"/>
      <c r="D129" s="121"/>
      <c r="E129" s="326">
        <v>0</v>
      </c>
      <c r="F129" s="387"/>
      <c r="G129" s="154" t="s">
        <v>100</v>
      </c>
      <c r="H129" s="147" t="s">
        <v>62</v>
      </c>
      <c r="I129" s="110">
        <f>-E117+E135</f>
        <v>146562.03836000001</v>
      </c>
      <c r="J129" s="107">
        <v>0</v>
      </c>
    </row>
    <row r="130" spans="1:10" s="386" customFormat="1" hidden="1">
      <c r="A130" s="2" t="s">
        <v>156</v>
      </c>
      <c r="B130" s="70"/>
      <c r="C130" s="253"/>
      <c r="D130" s="136"/>
      <c r="E130" s="327">
        <v>0</v>
      </c>
      <c r="F130" s="387"/>
      <c r="G130" s="7"/>
      <c r="H130" s="7"/>
      <c r="I130" s="8"/>
      <c r="J130" s="262">
        <f>ROUND(SUM(I125:J129),2)</f>
        <v>0</v>
      </c>
    </row>
    <row r="131" spans="1:10" s="386" customFormat="1" ht="16" hidden="1" thickBot="1">
      <c r="B131" s="6"/>
      <c r="C131" s="256">
        <f>SUM(C122:C130)</f>
        <v>8261262</v>
      </c>
      <c r="D131" s="155"/>
      <c r="E131" s="328">
        <f>SUM(E122:E130)</f>
        <v>146885.23836000002</v>
      </c>
      <c r="F131" s="387"/>
      <c r="G131" s="7"/>
      <c r="H131" s="7"/>
      <c r="I131" s="7"/>
      <c r="J131" s="7"/>
    </row>
    <row r="132" spans="1:10" s="386" customFormat="1" ht="16" hidden="1" thickTop="1">
      <c r="B132" s="6"/>
      <c r="C132" s="257">
        <v>8261262</v>
      </c>
      <c r="D132" s="66" t="s">
        <v>161</v>
      </c>
      <c r="E132" s="329">
        <v>0</v>
      </c>
      <c r="F132" s="387"/>
      <c r="G132" s="65" t="s">
        <v>158</v>
      </c>
      <c r="H132" s="7"/>
      <c r="I132" s="12"/>
      <c r="J132" s="12"/>
    </row>
    <row r="133" spans="1:10" s="386" customFormat="1" hidden="1">
      <c r="C133" s="319">
        <f>C131-C132</f>
        <v>0</v>
      </c>
      <c r="D133" s="66" t="s">
        <v>87</v>
      </c>
      <c r="E133" s="328">
        <f>E131+E132+E117</f>
        <v>-314400.29361602914</v>
      </c>
      <c r="F133" s="387"/>
      <c r="G133" s="8">
        <f>(E117*(D134/12))+(E131*(D134/24))</f>
        <v>-323.20242733002431</v>
      </c>
      <c r="H133" s="7"/>
      <c r="I133" s="8"/>
      <c r="J133" s="10"/>
    </row>
    <row r="134" spans="1:10" s="386" customFormat="1" hidden="1">
      <c r="C134" s="50"/>
      <c r="D134" s="226">
        <v>0.01</v>
      </c>
      <c r="E134" s="330">
        <f>ROUND(((E117)+(E131)/2)*(D134/12),2)</f>
        <v>-323.2</v>
      </c>
      <c r="F134" s="387"/>
      <c r="G134" s="65"/>
      <c r="H134" s="7"/>
      <c r="I134" s="10"/>
      <c r="J134" s="10"/>
    </row>
    <row r="135" spans="1:10" s="386" customFormat="1" ht="16" hidden="1" thickBot="1">
      <c r="A135" s="5"/>
      <c r="B135" s="5"/>
      <c r="C135" s="50" t="s">
        <v>1</v>
      </c>
      <c r="D135" s="143">
        <f>A120</f>
        <v>41364</v>
      </c>
      <c r="E135" s="331">
        <f>SUM(E133:E134)</f>
        <v>-314723.49361602915</v>
      </c>
      <c r="F135" s="387"/>
      <c r="G135" s="7"/>
      <c r="H135" s="7"/>
      <c r="I135" s="8"/>
      <c r="J135" s="7"/>
    </row>
    <row r="136" spans="1:10" ht="16.5" hidden="1" thickTop="1" thickBot="1">
      <c r="A136" s="386"/>
      <c r="B136" s="386"/>
      <c r="C136" s="386"/>
      <c r="D136" s="386"/>
      <c r="F136" s="386"/>
      <c r="G136" s="386"/>
      <c r="H136" s="386"/>
      <c r="I136" s="386"/>
      <c r="J136" s="386"/>
    </row>
    <row r="137" spans="1:10" hidden="1">
      <c r="A137" s="73" t="s">
        <v>142</v>
      </c>
      <c r="B137" s="74"/>
      <c r="C137" s="75"/>
      <c r="D137" s="76"/>
      <c r="E137" s="323"/>
      <c r="F137" s="386"/>
      <c r="G137" s="16"/>
      <c r="H137" s="5"/>
      <c r="I137" s="56"/>
      <c r="J137" s="56"/>
    </row>
    <row r="138" spans="1:10" hidden="1">
      <c r="A138" s="220">
        <v>41394</v>
      </c>
      <c r="B138" s="71"/>
      <c r="C138" s="16"/>
      <c r="D138" s="72" t="s">
        <v>23</v>
      </c>
      <c r="E138" s="324" t="s">
        <v>21</v>
      </c>
      <c r="F138" s="386"/>
      <c r="G138" s="5"/>
      <c r="H138" s="5"/>
      <c r="I138" s="8"/>
      <c r="J138" s="10"/>
    </row>
    <row r="139" spans="1:10" ht="16" hidden="1" thickBot="1">
      <c r="A139" s="14"/>
      <c r="B139" s="18"/>
      <c r="C139" s="131" t="s">
        <v>21</v>
      </c>
      <c r="D139" s="131" t="s">
        <v>22</v>
      </c>
      <c r="E139" s="325" t="s">
        <v>23</v>
      </c>
      <c r="F139" s="387"/>
      <c r="G139" s="7"/>
      <c r="H139" s="7"/>
      <c r="I139" s="10"/>
      <c r="J139" s="10"/>
    </row>
    <row r="140" spans="1:10" hidden="1">
      <c r="A140" s="2" t="s">
        <v>24</v>
      </c>
      <c r="B140" s="17">
        <v>101</v>
      </c>
      <c r="C140" s="254">
        <v>4076497</v>
      </c>
      <c r="D140" s="391">
        <v>1.7780000000000001E-2</v>
      </c>
      <c r="E140" s="326">
        <v>72480.11666</v>
      </c>
      <c r="F140" s="387"/>
      <c r="G140" s="7"/>
      <c r="H140" s="7"/>
      <c r="I140" s="8"/>
      <c r="J140" s="7"/>
    </row>
    <row r="141" spans="1:10" ht="16" hidden="1" thickBot="1">
      <c r="A141" s="2" t="s">
        <v>24</v>
      </c>
      <c r="B141" s="17">
        <v>111</v>
      </c>
      <c r="C141" s="254">
        <v>1757142</v>
      </c>
      <c r="D141" s="391">
        <v>1.7780000000000001E-2</v>
      </c>
      <c r="E141" s="326">
        <v>31241.984759999999</v>
      </c>
      <c r="F141" s="387"/>
      <c r="G141" s="146">
        <f>A138</f>
        <v>41394</v>
      </c>
      <c r="H141" s="147"/>
      <c r="I141" s="147"/>
      <c r="J141" s="147"/>
    </row>
    <row r="142" spans="1:10" ht="16" hidden="1" thickBot="1">
      <c r="A142" s="2" t="s">
        <v>24</v>
      </c>
      <c r="B142" s="17">
        <v>112</v>
      </c>
      <c r="C142" s="254"/>
      <c r="D142" s="391"/>
      <c r="E142" s="326">
        <v>0</v>
      </c>
      <c r="F142" s="387"/>
      <c r="G142" s="102" t="s">
        <v>25</v>
      </c>
      <c r="H142" s="148"/>
      <c r="I142" s="149" t="s">
        <v>18</v>
      </c>
      <c r="J142" s="150" t="s">
        <v>19</v>
      </c>
    </row>
    <row r="143" spans="1:10" hidden="1">
      <c r="A143" s="2" t="s">
        <v>24</v>
      </c>
      <c r="B143" s="17">
        <v>121</v>
      </c>
      <c r="C143" s="254"/>
      <c r="D143" s="221"/>
      <c r="E143" s="326">
        <v>0</v>
      </c>
      <c r="F143" s="387"/>
      <c r="G143" s="151" t="s">
        <v>28</v>
      </c>
      <c r="H143" s="152" t="s">
        <v>77</v>
      </c>
      <c r="I143" s="108"/>
      <c r="J143" s="396">
        <v>0</v>
      </c>
    </row>
    <row r="144" spans="1:10" hidden="1">
      <c r="A144" s="2" t="s">
        <v>24</v>
      </c>
      <c r="B144" s="17">
        <v>122</v>
      </c>
      <c r="C144" s="255"/>
      <c r="D144" s="221"/>
      <c r="E144" s="326">
        <v>0</v>
      </c>
      <c r="F144" s="387"/>
      <c r="G144" s="153" t="s">
        <v>29</v>
      </c>
      <c r="H144" s="7" t="s">
        <v>78</v>
      </c>
      <c r="I144" s="397">
        <f>-E152</f>
        <v>219.05</v>
      </c>
      <c r="J144" s="223"/>
    </row>
    <row r="145" spans="1:10" hidden="1">
      <c r="A145" s="2" t="s">
        <v>24</v>
      </c>
      <c r="B145" s="17">
        <v>131</v>
      </c>
      <c r="C145" s="254">
        <v>0</v>
      </c>
      <c r="D145" s="391">
        <v>1.6570000000000001E-2</v>
      </c>
      <c r="E145" s="326">
        <v>0</v>
      </c>
      <c r="F145" s="387"/>
      <c r="G145" s="153" t="s">
        <v>99</v>
      </c>
      <c r="H145" s="7" t="s">
        <v>60</v>
      </c>
      <c r="I145" s="8"/>
      <c r="J145" s="98">
        <f>-E149-E150</f>
        <v>-103722.10141999999</v>
      </c>
    </row>
    <row r="146" spans="1:10" hidden="1">
      <c r="A146" s="2" t="s">
        <v>24</v>
      </c>
      <c r="B146" s="17">
        <v>132</v>
      </c>
      <c r="C146" s="255"/>
      <c r="D146" s="121"/>
      <c r="E146" s="326">
        <v>0</v>
      </c>
      <c r="F146" s="387"/>
      <c r="G146" s="153" t="s">
        <v>10</v>
      </c>
      <c r="H146" s="7" t="s">
        <v>58</v>
      </c>
      <c r="I146" s="7">
        <v>0</v>
      </c>
      <c r="J146" s="109"/>
    </row>
    <row r="147" spans="1:10" ht="16" hidden="1" thickBot="1">
      <c r="A147" s="2" t="s">
        <v>24</v>
      </c>
      <c r="B147" s="17" t="s">
        <v>61</v>
      </c>
      <c r="C147" s="255"/>
      <c r="D147" s="121"/>
      <c r="E147" s="326">
        <v>0</v>
      </c>
      <c r="F147" s="387"/>
      <c r="G147" s="154" t="s">
        <v>100</v>
      </c>
      <c r="H147" s="147" t="s">
        <v>62</v>
      </c>
      <c r="I147" s="110">
        <f>-E135+E153</f>
        <v>103503.05142</v>
      </c>
      <c r="J147" s="107">
        <v>0</v>
      </c>
    </row>
    <row r="148" spans="1:10" hidden="1">
      <c r="A148" s="2" t="s">
        <v>156</v>
      </c>
      <c r="B148" s="70"/>
      <c r="C148" s="253"/>
      <c r="D148" s="136"/>
      <c r="E148" s="327">
        <v>0</v>
      </c>
      <c r="F148" s="387"/>
      <c r="G148" s="7"/>
      <c r="H148" s="7"/>
      <c r="I148" s="8"/>
      <c r="J148" s="262">
        <f>ROUND(SUM(I143:J147),2)</f>
        <v>0</v>
      </c>
    </row>
    <row r="149" spans="1:10" ht="16" hidden="1" thickBot="1">
      <c r="A149" s="386"/>
      <c r="B149" s="6"/>
      <c r="C149" s="256">
        <f>SUM(C140:C148)</f>
        <v>5833639</v>
      </c>
      <c r="D149" s="155"/>
      <c r="E149" s="328">
        <f>SUM(E140:E148)</f>
        <v>103722.10141999999</v>
      </c>
      <c r="F149" s="387"/>
      <c r="G149" s="7"/>
      <c r="H149" s="7"/>
      <c r="I149" s="7"/>
      <c r="J149" s="7"/>
    </row>
    <row r="150" spans="1:10" ht="16" hidden="1" thickTop="1">
      <c r="A150" s="386"/>
      <c r="B150" s="6"/>
      <c r="C150" s="257">
        <v>5833639</v>
      </c>
      <c r="D150" s="66" t="s">
        <v>161</v>
      </c>
      <c r="E150" s="329">
        <v>0</v>
      </c>
      <c r="F150" s="387"/>
      <c r="G150" s="65" t="s">
        <v>158</v>
      </c>
      <c r="H150" s="7"/>
      <c r="I150" s="12"/>
      <c r="J150" s="12"/>
    </row>
    <row r="151" spans="1:10" hidden="1">
      <c r="A151" s="386"/>
      <c r="B151" s="386"/>
      <c r="C151" s="319">
        <f>C149-C150</f>
        <v>0</v>
      </c>
      <c r="D151" s="66" t="s">
        <v>87</v>
      </c>
      <c r="E151" s="328">
        <f>E149+E150+E135</f>
        <v>-211001.39219602916</v>
      </c>
      <c r="F151" s="387"/>
      <c r="G151" s="8">
        <f>(E135*(D152/12))+(E149*(D152/24))</f>
        <v>-219.05203575502432</v>
      </c>
      <c r="H151" s="7"/>
      <c r="I151" s="8"/>
      <c r="J151" s="10"/>
    </row>
    <row r="152" spans="1:10" hidden="1">
      <c r="A152" s="386"/>
      <c r="B152" s="386"/>
      <c r="C152" s="50"/>
      <c r="D152" s="226">
        <v>0.01</v>
      </c>
      <c r="E152" s="330">
        <f>ROUND(((E135)+(E149)/2)*(D152/12),2)</f>
        <v>-219.05</v>
      </c>
      <c r="F152" s="387"/>
      <c r="G152" s="65"/>
      <c r="H152" s="7"/>
      <c r="I152" s="10"/>
      <c r="J152" s="10"/>
    </row>
    <row r="153" spans="1:10" ht="16" hidden="1" thickBot="1">
      <c r="A153" s="5"/>
      <c r="B153" s="5"/>
      <c r="C153" s="50" t="s">
        <v>1</v>
      </c>
      <c r="D153" s="143">
        <f>A138</f>
        <v>41394</v>
      </c>
      <c r="E153" s="331">
        <f>SUM(E151:E152)</f>
        <v>-211220.44219602915</v>
      </c>
      <c r="F153" s="387"/>
      <c r="G153" s="7"/>
      <c r="H153" s="7"/>
      <c r="I153" s="8"/>
      <c r="J153" s="7"/>
    </row>
    <row r="154" spans="1:10" s="386" customFormat="1" ht="16.5" hidden="1" thickTop="1" thickBot="1">
      <c r="E154" s="322"/>
    </row>
    <row r="155" spans="1:10" s="386" customFormat="1" hidden="1">
      <c r="A155" s="73" t="s">
        <v>142</v>
      </c>
      <c r="B155" s="74"/>
      <c r="C155" s="75"/>
      <c r="D155" s="76"/>
      <c r="E155" s="323"/>
      <c r="G155" s="16"/>
      <c r="H155" s="5"/>
      <c r="I155" s="56"/>
      <c r="J155" s="56"/>
    </row>
    <row r="156" spans="1:10" s="386" customFormat="1" hidden="1">
      <c r="A156" s="220">
        <v>41425</v>
      </c>
      <c r="B156" s="71"/>
      <c r="C156" s="16"/>
      <c r="D156" s="72" t="s">
        <v>23</v>
      </c>
      <c r="E156" s="324" t="s">
        <v>21</v>
      </c>
      <c r="G156" s="5"/>
      <c r="H156" s="5"/>
      <c r="I156" s="8"/>
      <c r="J156" s="10"/>
    </row>
    <row r="157" spans="1:10" s="386" customFormat="1" ht="16" hidden="1" thickBot="1">
      <c r="A157" s="14"/>
      <c r="B157" s="18"/>
      <c r="C157" s="131" t="s">
        <v>21</v>
      </c>
      <c r="D157" s="131" t="s">
        <v>22</v>
      </c>
      <c r="E157" s="325" t="s">
        <v>23</v>
      </c>
      <c r="F157" s="387"/>
      <c r="G157" s="7"/>
      <c r="H157" s="7"/>
      <c r="I157" s="10"/>
      <c r="J157" s="10"/>
    </row>
    <row r="158" spans="1:10" s="386" customFormat="1" hidden="1">
      <c r="A158" s="2" t="s">
        <v>24</v>
      </c>
      <c r="B158" s="17">
        <v>101</v>
      </c>
      <c r="C158" s="254">
        <v>1886293</v>
      </c>
      <c r="D158" s="391">
        <v>1.7780000000000001E-2</v>
      </c>
      <c r="E158" s="326">
        <v>33538.289539999998</v>
      </c>
      <c r="F158" s="387"/>
      <c r="G158" s="7"/>
      <c r="H158" s="7"/>
      <c r="I158" s="8"/>
      <c r="J158" s="7"/>
    </row>
    <row r="159" spans="1:10" s="386" customFormat="1" ht="16" hidden="1" thickBot="1">
      <c r="A159" s="2" t="s">
        <v>24</v>
      </c>
      <c r="B159" s="17">
        <v>111</v>
      </c>
      <c r="C159" s="254">
        <v>1075171</v>
      </c>
      <c r="D159" s="391">
        <v>1.7780000000000001E-2</v>
      </c>
      <c r="E159" s="326">
        <v>19116.540380000002</v>
      </c>
      <c r="F159" s="387"/>
      <c r="G159" s="146">
        <f>A156</f>
        <v>41425</v>
      </c>
      <c r="H159" s="147"/>
      <c r="I159" s="147"/>
      <c r="J159" s="147"/>
    </row>
    <row r="160" spans="1:10" s="386" customFormat="1" ht="16" hidden="1" thickBot="1">
      <c r="A160" s="2" t="s">
        <v>24</v>
      </c>
      <c r="B160" s="17">
        <v>112</v>
      </c>
      <c r="C160" s="254"/>
      <c r="D160" s="391"/>
      <c r="E160" s="326">
        <v>0</v>
      </c>
      <c r="F160" s="387"/>
      <c r="G160" s="102" t="s">
        <v>25</v>
      </c>
      <c r="H160" s="148"/>
      <c r="I160" s="149" t="s">
        <v>18</v>
      </c>
      <c r="J160" s="150" t="s">
        <v>19</v>
      </c>
    </row>
    <row r="161" spans="1:10" s="386" customFormat="1" hidden="1">
      <c r="A161" s="2" t="s">
        <v>24</v>
      </c>
      <c r="B161" s="17">
        <v>121</v>
      </c>
      <c r="C161" s="254"/>
      <c r="D161" s="221"/>
      <c r="E161" s="326">
        <v>0</v>
      </c>
      <c r="F161" s="387"/>
      <c r="G161" s="151" t="s">
        <v>28</v>
      </c>
      <c r="H161" s="152" t="s">
        <v>77</v>
      </c>
      <c r="I161" s="108"/>
      <c r="J161" s="396">
        <v>0</v>
      </c>
    </row>
    <row r="162" spans="1:10" s="386" customFormat="1" hidden="1">
      <c r="A162" s="2" t="s">
        <v>24</v>
      </c>
      <c r="B162" s="17">
        <v>122</v>
      </c>
      <c r="C162" s="255"/>
      <c r="D162" s="221"/>
      <c r="E162" s="326">
        <v>0</v>
      </c>
      <c r="F162" s="387"/>
      <c r="G162" s="153" t="s">
        <v>29</v>
      </c>
      <c r="H162" s="7" t="s">
        <v>78</v>
      </c>
      <c r="I162" s="397">
        <f>-E170</f>
        <v>154.08000000000001</v>
      </c>
      <c r="J162" s="223"/>
    </row>
    <row r="163" spans="1:10" s="386" customFormat="1" hidden="1">
      <c r="A163" s="2" t="s">
        <v>24</v>
      </c>
      <c r="B163" s="17">
        <v>131</v>
      </c>
      <c r="C163" s="254">
        <v>0</v>
      </c>
      <c r="D163" s="391">
        <v>1.6570000000000001E-2</v>
      </c>
      <c r="E163" s="326">
        <v>0</v>
      </c>
      <c r="F163" s="387"/>
      <c r="G163" s="153" t="s">
        <v>99</v>
      </c>
      <c r="H163" s="7" t="s">
        <v>60</v>
      </c>
      <c r="I163" s="8"/>
      <c r="J163" s="98">
        <f>-E167-E168</f>
        <v>-52654.829920000004</v>
      </c>
    </row>
    <row r="164" spans="1:10" s="386" customFormat="1" hidden="1">
      <c r="A164" s="2" t="s">
        <v>24</v>
      </c>
      <c r="B164" s="17">
        <v>132</v>
      </c>
      <c r="C164" s="255"/>
      <c r="D164" s="121"/>
      <c r="E164" s="326">
        <v>0</v>
      </c>
      <c r="F164" s="387"/>
      <c r="G164" s="153" t="s">
        <v>10</v>
      </c>
      <c r="H164" s="7" t="s">
        <v>58</v>
      </c>
      <c r="I164" s="7">
        <v>0</v>
      </c>
      <c r="J164" s="109"/>
    </row>
    <row r="165" spans="1:10" s="386" customFormat="1" ht="16" hidden="1" thickBot="1">
      <c r="A165" s="2" t="s">
        <v>24</v>
      </c>
      <c r="B165" s="17" t="s">
        <v>61</v>
      </c>
      <c r="C165" s="255"/>
      <c r="D165" s="121"/>
      <c r="E165" s="326">
        <v>0</v>
      </c>
      <c r="F165" s="387"/>
      <c r="G165" s="154" t="s">
        <v>100</v>
      </c>
      <c r="H165" s="147" t="s">
        <v>62</v>
      </c>
      <c r="I165" s="110">
        <f>-E153+E171</f>
        <v>52500.749920000031</v>
      </c>
      <c r="J165" s="107">
        <v>0</v>
      </c>
    </row>
    <row r="166" spans="1:10" s="386" customFormat="1" hidden="1">
      <c r="A166" s="2" t="s">
        <v>156</v>
      </c>
      <c r="B166" s="70"/>
      <c r="C166" s="253"/>
      <c r="D166" s="136"/>
      <c r="E166" s="327">
        <v>0</v>
      </c>
      <c r="F166" s="387"/>
      <c r="G166" s="7"/>
      <c r="H166" s="7"/>
      <c r="I166" s="8"/>
      <c r="J166" s="262">
        <f>ROUND(SUM(I161:J165),2)</f>
        <v>0</v>
      </c>
    </row>
    <row r="167" spans="1:10" s="386" customFormat="1" ht="16" hidden="1" thickBot="1">
      <c r="B167" s="6"/>
      <c r="C167" s="256">
        <f>SUM(C158:C166)</f>
        <v>2961464</v>
      </c>
      <c r="D167" s="155"/>
      <c r="E167" s="328">
        <f>SUM(E158:E166)</f>
        <v>52654.829920000004</v>
      </c>
      <c r="F167" s="387"/>
      <c r="G167" s="7"/>
      <c r="H167" s="7"/>
      <c r="I167" s="7"/>
      <c r="J167" s="7"/>
    </row>
    <row r="168" spans="1:10" s="386" customFormat="1" ht="16" hidden="1" thickTop="1">
      <c r="B168" s="6"/>
      <c r="C168" s="257">
        <v>2961464</v>
      </c>
      <c r="D168" s="66" t="s">
        <v>161</v>
      </c>
      <c r="E168" s="329">
        <v>0</v>
      </c>
      <c r="F168" s="387"/>
      <c r="G168" s="65" t="s">
        <v>158</v>
      </c>
      <c r="H168" s="7"/>
      <c r="I168" s="12"/>
      <c r="J168" s="12"/>
    </row>
    <row r="169" spans="1:10" s="386" customFormat="1" hidden="1">
      <c r="C169" s="319">
        <f>C167-C168</f>
        <v>0</v>
      </c>
      <c r="D169" s="66" t="s">
        <v>87</v>
      </c>
      <c r="E169" s="328">
        <f>E167+E168+E153</f>
        <v>-158565.61227602913</v>
      </c>
      <c r="F169" s="387"/>
      <c r="G169" s="8">
        <f>(E153*(D170/12))+(E167*(D170/24))</f>
        <v>-154.07752269669095</v>
      </c>
      <c r="H169" s="7"/>
      <c r="I169" s="8"/>
      <c r="J169" s="10"/>
    </row>
    <row r="170" spans="1:10" s="386" customFormat="1" hidden="1">
      <c r="C170" s="50"/>
      <c r="D170" s="226">
        <v>0.01</v>
      </c>
      <c r="E170" s="330">
        <f>ROUND(((E153)+(E167)/2)*(D170/12),2)</f>
        <v>-154.08000000000001</v>
      </c>
      <c r="F170" s="387"/>
      <c r="G170" s="65"/>
      <c r="H170" s="7"/>
      <c r="I170" s="10"/>
      <c r="J170" s="10"/>
    </row>
    <row r="171" spans="1:10" s="386" customFormat="1" ht="16" hidden="1" thickBot="1">
      <c r="A171" s="5"/>
      <c r="B171" s="5"/>
      <c r="C171" s="50" t="s">
        <v>1</v>
      </c>
      <c r="D171" s="143">
        <f>A156</f>
        <v>41425</v>
      </c>
      <c r="E171" s="331">
        <f>SUM(E169:E170)</f>
        <v>-158719.69227602912</v>
      </c>
      <c r="F171" s="387"/>
      <c r="G171" s="7"/>
      <c r="H171" s="7"/>
      <c r="I171" s="8"/>
      <c r="J171" s="7"/>
    </row>
    <row r="172" spans="1:10" s="386" customFormat="1" ht="16.5" hidden="1" thickTop="1" thickBot="1">
      <c r="E172" s="322"/>
    </row>
    <row r="173" spans="1:10" s="386" customFormat="1" hidden="1">
      <c r="A173" s="73" t="s">
        <v>142</v>
      </c>
      <c r="B173" s="74"/>
      <c r="C173" s="75"/>
      <c r="D173" s="76"/>
      <c r="E173" s="323"/>
      <c r="G173" s="16"/>
      <c r="H173" s="5"/>
      <c r="I173" s="56"/>
      <c r="J173" s="56"/>
    </row>
    <row r="174" spans="1:10" s="386" customFormat="1" hidden="1">
      <c r="A174" s="220">
        <v>41426</v>
      </c>
      <c r="B174" s="71"/>
      <c r="C174" s="16"/>
      <c r="D174" s="72" t="s">
        <v>23</v>
      </c>
      <c r="E174" s="324" t="s">
        <v>21</v>
      </c>
      <c r="G174" s="5"/>
      <c r="H174" s="5"/>
      <c r="I174" s="8"/>
      <c r="J174" s="10"/>
    </row>
    <row r="175" spans="1:10" s="386" customFormat="1" ht="16" hidden="1" thickBot="1">
      <c r="A175" s="14"/>
      <c r="B175" s="18"/>
      <c r="C175" s="131" t="s">
        <v>21</v>
      </c>
      <c r="D175" s="131" t="s">
        <v>22</v>
      </c>
      <c r="E175" s="325" t="s">
        <v>23</v>
      </c>
      <c r="F175" s="387"/>
      <c r="G175" s="7"/>
      <c r="H175" s="7"/>
      <c r="I175" s="10"/>
      <c r="J175" s="10"/>
    </row>
    <row r="176" spans="1:10" s="386" customFormat="1" hidden="1">
      <c r="A176" s="2" t="s">
        <v>24</v>
      </c>
      <c r="B176" s="17">
        <v>101</v>
      </c>
      <c r="C176" s="254">
        <v>1322327</v>
      </c>
      <c r="D176" s="391">
        <v>1.7780000000000001E-2</v>
      </c>
      <c r="E176" s="326">
        <v>23510.97406</v>
      </c>
      <c r="F176" s="387"/>
      <c r="G176" s="7"/>
      <c r="H176" s="7"/>
      <c r="I176" s="8"/>
      <c r="J176" s="7"/>
    </row>
    <row r="177" spans="1:10" s="386" customFormat="1" ht="16" hidden="1" thickBot="1">
      <c r="A177" s="2" t="s">
        <v>24</v>
      </c>
      <c r="B177" s="17">
        <v>111</v>
      </c>
      <c r="C177" s="254">
        <v>1044472</v>
      </c>
      <c r="D177" s="391">
        <v>1.7780000000000001E-2</v>
      </c>
      <c r="E177" s="326">
        <v>18570.712159999999</v>
      </c>
      <c r="F177" s="387"/>
      <c r="G177" s="146">
        <f>A174</f>
        <v>41426</v>
      </c>
      <c r="H177" s="147"/>
      <c r="I177" s="147"/>
      <c r="J177" s="147"/>
    </row>
    <row r="178" spans="1:10" s="386" customFormat="1" ht="16" hidden="1" thickBot="1">
      <c r="A178" s="2" t="s">
        <v>24</v>
      </c>
      <c r="B178" s="17">
        <v>112</v>
      </c>
      <c r="C178" s="254"/>
      <c r="D178" s="391"/>
      <c r="E178" s="326">
        <v>0</v>
      </c>
      <c r="F178" s="387"/>
      <c r="G178" s="102" t="s">
        <v>25</v>
      </c>
      <c r="H178" s="148"/>
      <c r="I178" s="149" t="s">
        <v>18</v>
      </c>
      <c r="J178" s="150" t="s">
        <v>19</v>
      </c>
    </row>
    <row r="179" spans="1:10" s="386" customFormat="1" hidden="1">
      <c r="A179" s="2" t="s">
        <v>24</v>
      </c>
      <c r="B179" s="17">
        <v>121</v>
      </c>
      <c r="C179" s="254"/>
      <c r="D179" s="221"/>
      <c r="E179" s="326">
        <v>0</v>
      </c>
      <c r="F179" s="387"/>
      <c r="G179" s="151" t="s">
        <v>28</v>
      </c>
      <c r="H179" s="152" t="s">
        <v>77</v>
      </c>
      <c r="I179" s="108"/>
      <c r="J179" s="396">
        <v>0</v>
      </c>
    </row>
    <row r="180" spans="1:10" s="386" customFormat="1" hidden="1">
      <c r="A180" s="2" t="s">
        <v>24</v>
      </c>
      <c r="B180" s="17">
        <v>122</v>
      </c>
      <c r="C180" s="255"/>
      <c r="D180" s="221"/>
      <c r="E180" s="326">
        <v>0</v>
      </c>
      <c r="F180" s="387"/>
      <c r="G180" s="153" t="s">
        <v>29</v>
      </c>
      <c r="H180" s="7" t="s">
        <v>78</v>
      </c>
      <c r="I180" s="397">
        <f>-E188</f>
        <v>114.73</v>
      </c>
      <c r="J180" s="223"/>
    </row>
    <row r="181" spans="1:10" s="386" customFormat="1" hidden="1">
      <c r="A181" s="2" t="s">
        <v>24</v>
      </c>
      <c r="B181" s="17">
        <v>131</v>
      </c>
      <c r="C181" s="254">
        <v>0</v>
      </c>
      <c r="D181" s="391">
        <v>1.6570000000000001E-2</v>
      </c>
      <c r="E181" s="326">
        <v>0</v>
      </c>
      <c r="F181" s="387"/>
      <c r="G181" s="153" t="s">
        <v>99</v>
      </c>
      <c r="H181" s="7" t="s">
        <v>60</v>
      </c>
      <c r="I181" s="8"/>
      <c r="J181" s="98">
        <f>-E185-E186</f>
        <v>-42081.686220000003</v>
      </c>
    </row>
    <row r="182" spans="1:10" s="386" customFormat="1" hidden="1">
      <c r="A182" s="2" t="s">
        <v>24</v>
      </c>
      <c r="B182" s="17">
        <v>132</v>
      </c>
      <c r="C182" s="255"/>
      <c r="D182" s="121"/>
      <c r="E182" s="326">
        <v>0</v>
      </c>
      <c r="F182" s="387"/>
      <c r="G182" s="153" t="s">
        <v>10</v>
      </c>
      <c r="H182" s="7" t="s">
        <v>58</v>
      </c>
      <c r="I182" s="7">
        <v>0</v>
      </c>
      <c r="J182" s="109"/>
    </row>
    <row r="183" spans="1:10" s="386" customFormat="1" ht="16" hidden="1" thickBot="1">
      <c r="A183" s="2" t="s">
        <v>24</v>
      </c>
      <c r="B183" s="17" t="s">
        <v>61</v>
      </c>
      <c r="C183" s="255"/>
      <c r="D183" s="121"/>
      <c r="E183" s="326">
        <v>0</v>
      </c>
      <c r="F183" s="387"/>
      <c r="G183" s="154" t="s">
        <v>100</v>
      </c>
      <c r="H183" s="147" t="s">
        <v>62</v>
      </c>
      <c r="I183" s="110">
        <f>-E171+E189</f>
        <v>41966.956220000007</v>
      </c>
      <c r="J183" s="107">
        <v>0</v>
      </c>
    </row>
    <row r="184" spans="1:10" s="386" customFormat="1" hidden="1">
      <c r="A184" s="2" t="s">
        <v>156</v>
      </c>
      <c r="B184" s="70"/>
      <c r="C184" s="253"/>
      <c r="D184" s="136"/>
      <c r="E184" s="327">
        <v>0</v>
      </c>
      <c r="F184" s="387"/>
      <c r="G184" s="7"/>
      <c r="H184" s="7"/>
      <c r="I184" s="8"/>
      <c r="J184" s="262">
        <f>ROUND(SUM(I179:J183),2)</f>
        <v>0</v>
      </c>
    </row>
    <row r="185" spans="1:10" s="386" customFormat="1" ht="16" hidden="1" thickBot="1">
      <c r="B185" s="6"/>
      <c r="C185" s="256">
        <f>SUM(C176:C184)</f>
        <v>2366799</v>
      </c>
      <c r="D185" s="155"/>
      <c r="E185" s="328">
        <f>SUM(E176:E184)</f>
        <v>42081.686220000003</v>
      </c>
      <c r="F185" s="387"/>
      <c r="G185" s="7"/>
      <c r="H185" s="7"/>
      <c r="I185" s="7"/>
      <c r="J185" s="7"/>
    </row>
    <row r="186" spans="1:10" s="386" customFormat="1" ht="16" hidden="1" thickTop="1">
      <c r="B186" s="6"/>
      <c r="C186" s="257">
        <v>2366799</v>
      </c>
      <c r="D186" s="66" t="s">
        <v>161</v>
      </c>
      <c r="E186" s="329">
        <v>0</v>
      </c>
      <c r="F186" s="387"/>
      <c r="G186" s="65" t="s">
        <v>158</v>
      </c>
      <c r="H186" s="7"/>
      <c r="I186" s="12"/>
      <c r="J186" s="12"/>
    </row>
    <row r="187" spans="1:10" s="386" customFormat="1" hidden="1">
      <c r="C187" s="319">
        <f>C185-C186</f>
        <v>0</v>
      </c>
      <c r="D187" s="66" t="s">
        <v>87</v>
      </c>
      <c r="E187" s="328">
        <f>E185+E186+E171</f>
        <v>-116638.00605602912</v>
      </c>
      <c r="F187" s="387"/>
      <c r="G187" s="8">
        <f>(E171*(D188/12))+(E185*(D188/24))</f>
        <v>-114.73237430502427</v>
      </c>
      <c r="H187" s="7"/>
      <c r="I187" s="8"/>
      <c r="J187" s="10"/>
    </row>
    <row r="188" spans="1:10" s="386" customFormat="1" hidden="1">
      <c r="C188" s="50"/>
      <c r="D188" s="226">
        <v>0.01</v>
      </c>
      <c r="E188" s="330">
        <f>ROUND(((E171)+(E185)/2)*(D188/12),2)</f>
        <v>-114.73</v>
      </c>
      <c r="F188" s="387"/>
      <c r="G188" s="65"/>
      <c r="H188" s="7"/>
      <c r="I188" s="10"/>
      <c r="J188" s="10"/>
    </row>
    <row r="189" spans="1:10" s="386" customFormat="1" ht="16" thickBot="1">
      <c r="A189" s="5"/>
      <c r="B189" s="5"/>
      <c r="C189" s="50" t="s">
        <v>1</v>
      </c>
      <c r="D189" s="143">
        <f>A174</f>
        <v>41426</v>
      </c>
      <c r="E189" s="331">
        <f>SUM(E187:E188)</f>
        <v>-116752.73605602911</v>
      </c>
      <c r="F189" s="387"/>
      <c r="G189" s="7"/>
      <c r="H189" s="7"/>
      <c r="I189" s="8"/>
      <c r="J189" s="7"/>
    </row>
    <row r="190" spans="1:10" s="386" customFormat="1" ht="16.5" thickTop="1" thickBot="1">
      <c r="E190" s="322"/>
    </row>
    <row r="191" spans="1:10" s="386" customFormat="1">
      <c r="A191" s="73" t="s">
        <v>142</v>
      </c>
      <c r="B191" s="74"/>
      <c r="C191" s="75"/>
      <c r="D191" s="76"/>
      <c r="E191" s="323"/>
      <c r="G191" s="16"/>
      <c r="H191" s="5"/>
      <c r="I191" s="56"/>
      <c r="J191" s="56"/>
    </row>
    <row r="192" spans="1:10" s="386" customFormat="1">
      <c r="A192" s="220">
        <v>41456</v>
      </c>
      <c r="B192" s="71"/>
      <c r="C192" s="16"/>
      <c r="D192" s="72" t="s">
        <v>23</v>
      </c>
      <c r="E192" s="324" t="s">
        <v>21</v>
      </c>
      <c r="G192" s="5"/>
      <c r="H192" s="5"/>
      <c r="I192" s="8"/>
      <c r="J192" s="10"/>
    </row>
    <row r="193" spans="1:10" s="386" customFormat="1" ht="16" thickBot="1">
      <c r="A193" s="14"/>
      <c r="B193" s="18"/>
      <c r="C193" s="131" t="s">
        <v>21</v>
      </c>
      <c r="D193" s="131" t="s">
        <v>22</v>
      </c>
      <c r="E193" s="325" t="s">
        <v>23</v>
      </c>
      <c r="F193" s="387"/>
      <c r="G193" s="7"/>
      <c r="H193" s="7"/>
      <c r="I193" s="10"/>
      <c r="J193" s="10"/>
    </row>
    <row r="194" spans="1:10" s="386" customFormat="1">
      <c r="A194" s="2" t="s">
        <v>24</v>
      </c>
      <c r="B194" s="17">
        <v>101</v>
      </c>
      <c r="C194" s="254">
        <v>970543</v>
      </c>
      <c r="D194" s="391">
        <v>1.7780000000000001E-2</v>
      </c>
      <c r="E194" s="326">
        <v>17256.254540000002</v>
      </c>
      <c r="F194" s="387"/>
      <c r="G194" s="7"/>
      <c r="H194" s="7"/>
      <c r="I194" s="8"/>
      <c r="J194" s="7"/>
    </row>
    <row r="195" spans="1:10" s="386" customFormat="1" ht="16" thickBot="1">
      <c r="A195" s="2" t="s">
        <v>24</v>
      </c>
      <c r="B195" s="17">
        <v>111</v>
      </c>
      <c r="C195" s="254">
        <v>805059</v>
      </c>
      <c r="D195" s="391">
        <v>1.7780000000000001E-2</v>
      </c>
      <c r="E195" s="326">
        <v>14313.94902</v>
      </c>
      <c r="F195" s="387"/>
      <c r="G195" s="146">
        <f>A192</f>
        <v>41456</v>
      </c>
      <c r="H195" s="147"/>
      <c r="I195" s="147"/>
      <c r="J195" s="147"/>
    </row>
    <row r="196" spans="1:10" s="386" customFormat="1" ht="16" thickBot="1">
      <c r="A196" s="2" t="s">
        <v>24</v>
      </c>
      <c r="B196" s="17">
        <v>112</v>
      </c>
      <c r="C196" s="254"/>
      <c r="D196" s="391"/>
      <c r="E196" s="326">
        <v>0</v>
      </c>
      <c r="F196" s="387"/>
      <c r="G196" s="102" t="s">
        <v>25</v>
      </c>
      <c r="H196" s="148"/>
      <c r="I196" s="149" t="s">
        <v>18</v>
      </c>
      <c r="J196" s="150" t="s">
        <v>19</v>
      </c>
    </row>
    <row r="197" spans="1:10" s="386" customFormat="1">
      <c r="A197" s="2" t="s">
        <v>24</v>
      </c>
      <c r="B197" s="17">
        <v>121</v>
      </c>
      <c r="C197" s="254"/>
      <c r="D197" s="221"/>
      <c r="E197" s="326">
        <v>0</v>
      </c>
      <c r="F197" s="387"/>
      <c r="G197" s="151" t="s">
        <v>28</v>
      </c>
      <c r="H197" s="152" t="s">
        <v>77</v>
      </c>
      <c r="I197" s="108"/>
      <c r="J197" s="396">
        <v>0</v>
      </c>
    </row>
    <row r="198" spans="1:10" s="386" customFormat="1">
      <c r="A198" s="2" t="s">
        <v>24</v>
      </c>
      <c r="B198" s="17">
        <v>122</v>
      </c>
      <c r="C198" s="255"/>
      <c r="D198" s="221"/>
      <c r="E198" s="326">
        <v>0</v>
      </c>
      <c r="F198" s="387"/>
      <c r="G198" s="153" t="s">
        <v>29</v>
      </c>
      <c r="H198" s="7" t="s">
        <v>78</v>
      </c>
      <c r="I198" s="397">
        <f>-E206</f>
        <v>84.14</v>
      </c>
      <c r="J198" s="223"/>
    </row>
    <row r="199" spans="1:10" s="386" customFormat="1">
      <c r="A199" s="2" t="s">
        <v>24</v>
      </c>
      <c r="B199" s="17">
        <v>131</v>
      </c>
      <c r="C199" s="254">
        <v>0</v>
      </c>
      <c r="D199" s="391">
        <v>1.6570000000000001E-2</v>
      </c>
      <c r="E199" s="326">
        <v>0</v>
      </c>
      <c r="F199" s="387"/>
      <c r="G199" s="153" t="s">
        <v>99</v>
      </c>
      <c r="H199" s="7" t="s">
        <v>60</v>
      </c>
      <c r="I199" s="8"/>
      <c r="J199" s="98">
        <f>-E203-E204</f>
        <v>-31570.203560000002</v>
      </c>
    </row>
    <row r="200" spans="1:10" s="386" customFormat="1">
      <c r="A200" s="2" t="s">
        <v>24</v>
      </c>
      <c r="B200" s="17">
        <v>132</v>
      </c>
      <c r="C200" s="255"/>
      <c r="D200" s="121"/>
      <c r="E200" s="326">
        <v>0</v>
      </c>
      <c r="F200" s="387"/>
      <c r="G200" s="153" t="s">
        <v>10</v>
      </c>
      <c r="H200" s="7" t="s">
        <v>58</v>
      </c>
      <c r="I200" s="7">
        <v>0</v>
      </c>
      <c r="J200" s="109"/>
    </row>
    <row r="201" spans="1:10" s="386" customFormat="1" ht="16" thickBot="1">
      <c r="A201" s="2" t="s">
        <v>24</v>
      </c>
      <c r="B201" s="17" t="s">
        <v>61</v>
      </c>
      <c r="C201" s="255"/>
      <c r="D201" s="121"/>
      <c r="E201" s="326">
        <v>0</v>
      </c>
      <c r="F201" s="387"/>
      <c r="G201" s="154" t="s">
        <v>100</v>
      </c>
      <c r="H201" s="147" t="s">
        <v>62</v>
      </c>
      <c r="I201" s="110">
        <f>-E189+E207</f>
        <v>31486.06356000001</v>
      </c>
      <c r="J201" s="107">
        <v>0</v>
      </c>
    </row>
    <row r="202" spans="1:10" s="386" customFormat="1">
      <c r="A202" s="2" t="s">
        <v>156</v>
      </c>
      <c r="B202" s="70"/>
      <c r="C202" s="253"/>
      <c r="D202" s="136"/>
      <c r="E202" s="327">
        <v>0</v>
      </c>
      <c r="F202" s="387"/>
      <c r="G202" s="7"/>
      <c r="H202" s="7"/>
      <c r="I202" s="8"/>
      <c r="J202" s="262">
        <f>ROUND(SUM(I197:J201),2)</f>
        <v>0</v>
      </c>
    </row>
    <row r="203" spans="1:10" s="386" customFormat="1" ht="16" thickBot="1">
      <c r="B203" s="6"/>
      <c r="C203" s="256">
        <f>SUM(C194:C202)</f>
        <v>1775602</v>
      </c>
      <c r="D203" s="155"/>
      <c r="E203" s="328">
        <f>SUM(E194:E202)</f>
        <v>31570.203560000002</v>
      </c>
      <c r="F203" s="387"/>
      <c r="G203" s="7"/>
      <c r="H203" s="7"/>
      <c r="I203" s="7"/>
      <c r="J203" s="7"/>
    </row>
    <row r="204" spans="1:10" s="386" customFormat="1" ht="16" thickTop="1">
      <c r="B204" s="6"/>
      <c r="C204" s="257">
        <v>1775602</v>
      </c>
      <c r="D204" s="66" t="s">
        <v>161</v>
      </c>
      <c r="E204" s="329">
        <v>0</v>
      </c>
      <c r="F204" s="387"/>
      <c r="G204" s="65" t="s">
        <v>158</v>
      </c>
      <c r="H204" s="7"/>
      <c r="I204" s="12"/>
      <c r="J204" s="12"/>
    </row>
    <row r="205" spans="1:10" s="386" customFormat="1">
      <c r="C205" s="319">
        <f>C203-C204</f>
        <v>0</v>
      </c>
      <c r="D205" s="66" t="s">
        <v>87</v>
      </c>
      <c r="E205" s="328">
        <f>E203+E204+E189</f>
        <v>-85182.532496029104</v>
      </c>
      <c r="F205" s="387"/>
      <c r="G205" s="8">
        <f>(E189*(D206/12))+(E203*(D206/24))</f>
        <v>-84.139695230024259</v>
      </c>
      <c r="H205" s="7"/>
      <c r="I205" s="8"/>
      <c r="J205" s="10"/>
    </row>
    <row r="206" spans="1:10" s="386" customFormat="1">
      <c r="C206" s="50"/>
      <c r="D206" s="226">
        <v>0.01</v>
      </c>
      <c r="E206" s="330">
        <f>ROUND(((E189)+(E203)/2)*(D206/12),2)</f>
        <v>-84.14</v>
      </c>
      <c r="F206" s="387"/>
      <c r="G206" s="65"/>
      <c r="H206" s="7"/>
      <c r="I206" s="10"/>
      <c r="J206" s="10"/>
    </row>
    <row r="207" spans="1:10" s="386" customFormat="1" ht="16" thickBot="1">
      <c r="A207" s="5"/>
      <c r="B207" s="5"/>
      <c r="C207" s="50" t="s">
        <v>1</v>
      </c>
      <c r="D207" s="143">
        <f>A192</f>
        <v>41456</v>
      </c>
      <c r="E207" s="331">
        <f>SUM(E205:E206)</f>
        <v>-85266.672496029103</v>
      </c>
      <c r="F207" s="387"/>
      <c r="G207" s="7"/>
      <c r="H207" s="7"/>
      <c r="I207" s="8"/>
      <c r="J207" s="7"/>
    </row>
    <row r="208" spans="1:10" ht="16.5" thickTop="1" thickBot="1"/>
    <row r="209" spans="1:10" s="386" customFormat="1">
      <c r="A209" s="73" t="s">
        <v>142</v>
      </c>
      <c r="B209" s="74"/>
      <c r="C209" s="75"/>
      <c r="D209" s="76"/>
      <c r="E209" s="323"/>
      <c r="G209" s="16"/>
      <c r="H209" s="5"/>
      <c r="I209" s="56"/>
      <c r="J209" s="56"/>
    </row>
    <row r="210" spans="1:10" s="386" customFormat="1">
      <c r="A210" s="220">
        <v>41487</v>
      </c>
      <c r="B210" s="71"/>
      <c r="C210" s="16"/>
      <c r="D210" s="72" t="s">
        <v>23</v>
      </c>
      <c r="E210" s="324" t="s">
        <v>21</v>
      </c>
      <c r="G210" s="5"/>
      <c r="H210" s="5"/>
      <c r="I210" s="8"/>
      <c r="J210" s="10"/>
    </row>
    <row r="211" spans="1:10" s="386" customFormat="1" ht="16" thickBot="1">
      <c r="A211" s="14"/>
      <c r="B211" s="18"/>
      <c r="C211" s="131" t="s">
        <v>21</v>
      </c>
      <c r="D211" s="131" t="s">
        <v>22</v>
      </c>
      <c r="E211" s="325" t="s">
        <v>23</v>
      </c>
      <c r="F211" s="387"/>
      <c r="G211" s="7"/>
      <c r="H211" s="7"/>
      <c r="I211" s="10"/>
      <c r="J211" s="10"/>
    </row>
    <row r="212" spans="1:10" s="386" customFormat="1">
      <c r="A212" s="2" t="s">
        <v>24</v>
      </c>
      <c r="B212" s="17">
        <v>101</v>
      </c>
      <c r="C212" s="254">
        <v>985214</v>
      </c>
      <c r="D212" s="391">
        <v>1.7780000000000001E-2</v>
      </c>
      <c r="E212" s="326">
        <v>17517.104920000002</v>
      </c>
      <c r="F212" s="387"/>
      <c r="G212" s="7"/>
      <c r="H212" s="7"/>
      <c r="I212" s="8"/>
      <c r="J212" s="7"/>
    </row>
    <row r="213" spans="1:10" s="386" customFormat="1" ht="16" thickBot="1">
      <c r="A213" s="2" t="s">
        <v>24</v>
      </c>
      <c r="B213" s="17">
        <v>111</v>
      </c>
      <c r="C213" s="254">
        <v>994287</v>
      </c>
      <c r="D213" s="391">
        <v>1.7780000000000001E-2</v>
      </c>
      <c r="E213" s="326">
        <v>17678.422860000002</v>
      </c>
      <c r="F213" s="387"/>
      <c r="G213" s="146">
        <f>A210</f>
        <v>41487</v>
      </c>
      <c r="H213" s="147"/>
      <c r="I213" s="147"/>
      <c r="J213" s="147"/>
    </row>
    <row r="214" spans="1:10" s="386" customFormat="1" ht="16" thickBot="1">
      <c r="A214" s="2" t="s">
        <v>24</v>
      </c>
      <c r="B214" s="17">
        <v>112</v>
      </c>
      <c r="C214" s="254"/>
      <c r="D214" s="391"/>
      <c r="E214" s="326">
        <v>0</v>
      </c>
      <c r="F214" s="387"/>
      <c r="G214" s="102" t="s">
        <v>25</v>
      </c>
      <c r="H214" s="148"/>
      <c r="I214" s="149" t="s">
        <v>18</v>
      </c>
      <c r="J214" s="150" t="s">
        <v>19</v>
      </c>
    </row>
    <row r="215" spans="1:10" s="386" customFormat="1">
      <c r="A215" s="2" t="s">
        <v>24</v>
      </c>
      <c r="B215" s="17">
        <v>121</v>
      </c>
      <c r="C215" s="254"/>
      <c r="D215" s="221"/>
      <c r="E215" s="326">
        <v>0</v>
      </c>
      <c r="F215" s="387"/>
      <c r="G215" s="151" t="s">
        <v>28</v>
      </c>
      <c r="H215" s="152" t="s">
        <v>77</v>
      </c>
      <c r="I215" s="108"/>
      <c r="J215" s="396">
        <v>0</v>
      </c>
    </row>
    <row r="216" spans="1:10" s="386" customFormat="1">
      <c r="A216" s="2" t="s">
        <v>24</v>
      </c>
      <c r="B216" s="17">
        <v>122</v>
      </c>
      <c r="C216" s="255"/>
      <c r="D216" s="221"/>
      <c r="E216" s="326">
        <v>0</v>
      </c>
      <c r="F216" s="387"/>
      <c r="G216" s="153" t="s">
        <v>29</v>
      </c>
      <c r="H216" s="7" t="s">
        <v>78</v>
      </c>
      <c r="I216" s="397">
        <f>-E224</f>
        <v>56.39</v>
      </c>
      <c r="J216" s="223"/>
    </row>
    <row r="217" spans="1:10" s="386" customFormat="1">
      <c r="A217" s="2" t="s">
        <v>24</v>
      </c>
      <c r="B217" s="17">
        <v>131</v>
      </c>
      <c r="C217" s="254">
        <v>0</v>
      </c>
      <c r="D217" s="391">
        <v>1.6570000000000001E-2</v>
      </c>
      <c r="E217" s="326">
        <v>0</v>
      </c>
      <c r="F217" s="387"/>
      <c r="G217" s="153" t="s">
        <v>99</v>
      </c>
      <c r="H217" s="7" t="s">
        <v>60</v>
      </c>
      <c r="I217" s="8"/>
      <c r="J217" s="98">
        <f>-E221-E222</f>
        <v>-35195.527780000004</v>
      </c>
    </row>
    <row r="218" spans="1:10" s="386" customFormat="1">
      <c r="A218" s="2" t="s">
        <v>24</v>
      </c>
      <c r="B218" s="17">
        <v>132</v>
      </c>
      <c r="C218" s="255"/>
      <c r="D218" s="121"/>
      <c r="E218" s="326">
        <v>0</v>
      </c>
      <c r="F218" s="387"/>
      <c r="G218" s="153" t="s">
        <v>10</v>
      </c>
      <c r="H218" s="7" t="s">
        <v>58</v>
      </c>
      <c r="I218" s="7">
        <v>0</v>
      </c>
      <c r="J218" s="109"/>
    </row>
    <row r="219" spans="1:10" s="386" customFormat="1" ht="16" thickBot="1">
      <c r="A219" s="2" t="s">
        <v>24</v>
      </c>
      <c r="B219" s="17" t="s">
        <v>61</v>
      </c>
      <c r="C219" s="255"/>
      <c r="D219" s="121"/>
      <c r="E219" s="326">
        <v>0</v>
      </c>
      <c r="F219" s="387"/>
      <c r="G219" s="154" t="s">
        <v>100</v>
      </c>
      <c r="H219" s="147" t="s">
        <v>62</v>
      </c>
      <c r="I219" s="110">
        <f>-E207+E225</f>
        <v>35139.137780000005</v>
      </c>
      <c r="J219" s="107">
        <v>0</v>
      </c>
    </row>
    <row r="220" spans="1:10" s="386" customFormat="1">
      <c r="A220" s="2" t="s">
        <v>156</v>
      </c>
      <c r="B220" s="70"/>
      <c r="C220" s="253"/>
      <c r="D220" s="136"/>
      <c r="E220" s="327">
        <v>0</v>
      </c>
      <c r="F220" s="387"/>
      <c r="G220" s="7"/>
      <c r="H220" s="7"/>
      <c r="I220" s="8"/>
      <c r="J220" s="262">
        <f>ROUND(SUM(I215:J219),2)</f>
        <v>0</v>
      </c>
    </row>
    <row r="221" spans="1:10" s="386" customFormat="1" ht="16" thickBot="1">
      <c r="B221" s="6"/>
      <c r="C221" s="256">
        <f>SUM(C212:C220)</f>
        <v>1979501</v>
      </c>
      <c r="D221" s="155"/>
      <c r="E221" s="328">
        <f>SUM(E212:E220)</f>
        <v>35195.527780000004</v>
      </c>
      <c r="F221" s="387"/>
      <c r="G221" s="7"/>
      <c r="H221" s="7"/>
      <c r="I221" s="7"/>
      <c r="J221" s="7"/>
    </row>
    <row r="222" spans="1:10" s="386" customFormat="1" ht="16" thickTop="1">
      <c r="B222" s="6"/>
      <c r="C222" s="257">
        <v>1979501</v>
      </c>
      <c r="D222" s="66" t="s">
        <v>161</v>
      </c>
      <c r="E222" s="329">
        <v>0</v>
      </c>
      <c r="F222" s="387"/>
      <c r="G222" s="65" t="s">
        <v>158</v>
      </c>
      <c r="H222" s="7"/>
      <c r="I222" s="12"/>
      <c r="J222" s="12"/>
    </row>
    <row r="223" spans="1:10" s="386" customFormat="1">
      <c r="C223" s="319">
        <f>C221-C222</f>
        <v>0</v>
      </c>
      <c r="D223" s="66" t="s">
        <v>87</v>
      </c>
      <c r="E223" s="328">
        <f>E221+E222+E207</f>
        <v>-50071.144716029099</v>
      </c>
      <c r="F223" s="387"/>
      <c r="G223" s="8">
        <f>(E207*(D224/12))+(E221*(D224/24))</f>
        <v>-56.390757171690929</v>
      </c>
      <c r="H223" s="7"/>
      <c r="I223" s="8"/>
      <c r="J223" s="10"/>
    </row>
    <row r="224" spans="1:10" s="386" customFormat="1">
      <c r="C224" s="50"/>
      <c r="D224" s="226">
        <v>0.01</v>
      </c>
      <c r="E224" s="330">
        <f>ROUND(((E207)+(E221)/2)*(D224/12),2)</f>
        <v>-56.39</v>
      </c>
      <c r="F224" s="387"/>
      <c r="G224" s="65"/>
      <c r="H224" s="7"/>
      <c r="I224" s="10"/>
      <c r="J224" s="10"/>
    </row>
    <row r="225" spans="1:10" s="386" customFormat="1" ht="16" thickBot="1">
      <c r="A225" s="5"/>
      <c r="B225" s="5"/>
      <c r="C225" s="50" t="s">
        <v>1</v>
      </c>
      <c r="D225" s="143">
        <f>A210</f>
        <v>41487</v>
      </c>
      <c r="E225" s="331">
        <f>SUM(E223:E224)</f>
        <v>-50127.534716029098</v>
      </c>
      <c r="F225" s="387"/>
      <c r="G225" s="7"/>
      <c r="H225" s="7"/>
      <c r="I225" s="8"/>
      <c r="J225" s="7"/>
    </row>
    <row r="226" spans="1:10" ht="16.5" thickTop="1" thickBot="1"/>
    <row r="227" spans="1:10" s="386" customFormat="1">
      <c r="A227" s="73" t="s">
        <v>142</v>
      </c>
      <c r="B227" s="74"/>
      <c r="C227" s="75"/>
      <c r="D227" s="76"/>
      <c r="E227" s="323"/>
      <c r="G227" s="16"/>
      <c r="H227" s="5"/>
      <c r="I227" s="56"/>
      <c r="J227" s="56"/>
    </row>
    <row r="228" spans="1:10" s="386" customFormat="1">
      <c r="A228" s="220">
        <v>41518</v>
      </c>
      <c r="B228" s="71"/>
      <c r="C228" s="16"/>
      <c r="D228" s="72" t="s">
        <v>23</v>
      </c>
      <c r="E228" s="324" t="s">
        <v>21</v>
      </c>
      <c r="G228" s="5"/>
      <c r="H228" s="5"/>
      <c r="I228" s="8"/>
      <c r="J228" s="10"/>
    </row>
    <row r="229" spans="1:10" s="386" customFormat="1" ht="16" thickBot="1">
      <c r="A229" s="14"/>
      <c r="B229" s="18"/>
      <c r="C229" s="131" t="s">
        <v>21</v>
      </c>
      <c r="D229" s="131" t="s">
        <v>22</v>
      </c>
      <c r="E229" s="325" t="s">
        <v>23</v>
      </c>
      <c r="F229" s="387"/>
      <c r="G229" s="7"/>
      <c r="H229" s="7"/>
      <c r="I229" s="10"/>
      <c r="J229" s="10"/>
    </row>
    <row r="230" spans="1:10" s="386" customFormat="1">
      <c r="A230" s="2" t="s">
        <v>24</v>
      </c>
      <c r="B230" s="17">
        <v>101</v>
      </c>
      <c r="C230" s="254">
        <v>1338764</v>
      </c>
      <c r="D230" s="391">
        <v>1.7780000000000001E-2</v>
      </c>
      <c r="E230" s="326">
        <v>23803.22392</v>
      </c>
      <c r="F230" s="387"/>
      <c r="G230" s="7"/>
      <c r="H230" s="7"/>
      <c r="I230" s="8"/>
      <c r="J230" s="7"/>
    </row>
    <row r="231" spans="1:10" s="386" customFormat="1" ht="16" thickBot="1">
      <c r="A231" s="2" t="s">
        <v>24</v>
      </c>
      <c r="B231" s="17">
        <v>111</v>
      </c>
      <c r="C231" s="254">
        <v>1168974</v>
      </c>
      <c r="D231" s="391">
        <v>1.7780000000000001E-2</v>
      </c>
      <c r="E231" s="326">
        <v>20784.35772</v>
      </c>
      <c r="F231" s="387"/>
      <c r="G231" s="146">
        <f>A228</f>
        <v>41518</v>
      </c>
      <c r="H231" s="147"/>
      <c r="I231" s="147"/>
      <c r="J231" s="147"/>
    </row>
    <row r="232" spans="1:10" s="386" customFormat="1" ht="16" thickBot="1">
      <c r="A232" s="2" t="s">
        <v>24</v>
      </c>
      <c r="B232" s="17">
        <v>112</v>
      </c>
      <c r="C232" s="254"/>
      <c r="D232" s="391"/>
      <c r="E232" s="326">
        <v>0</v>
      </c>
      <c r="F232" s="387"/>
      <c r="G232" s="102" t="s">
        <v>25</v>
      </c>
      <c r="H232" s="148"/>
      <c r="I232" s="149" t="s">
        <v>18</v>
      </c>
      <c r="J232" s="150" t="s">
        <v>19</v>
      </c>
    </row>
    <row r="233" spans="1:10" s="386" customFormat="1">
      <c r="A233" s="2" t="s">
        <v>24</v>
      </c>
      <c r="B233" s="17">
        <v>121</v>
      </c>
      <c r="C233" s="254"/>
      <c r="D233" s="221"/>
      <c r="E233" s="326">
        <v>0</v>
      </c>
      <c r="F233" s="387"/>
      <c r="G233" s="151" t="s">
        <v>28</v>
      </c>
      <c r="H233" s="152" t="s">
        <v>77</v>
      </c>
      <c r="I233" s="108"/>
      <c r="J233" s="396">
        <v>0</v>
      </c>
    </row>
    <row r="234" spans="1:10" s="386" customFormat="1">
      <c r="A234" s="2" t="s">
        <v>24</v>
      </c>
      <c r="B234" s="17">
        <v>122</v>
      </c>
      <c r="C234" s="255"/>
      <c r="D234" s="221"/>
      <c r="E234" s="326">
        <v>0</v>
      </c>
      <c r="F234" s="387"/>
      <c r="G234" s="153" t="s">
        <v>29</v>
      </c>
      <c r="H234" s="7" t="s">
        <v>78</v>
      </c>
      <c r="I234" s="397">
        <f>-E242</f>
        <v>23.19</v>
      </c>
      <c r="J234" s="223"/>
    </row>
    <row r="235" spans="1:10" s="386" customFormat="1">
      <c r="A235" s="2" t="s">
        <v>24</v>
      </c>
      <c r="B235" s="17">
        <v>131</v>
      </c>
      <c r="C235" s="254">
        <v>0</v>
      </c>
      <c r="D235" s="391">
        <v>1.6570000000000001E-2</v>
      </c>
      <c r="E235" s="326">
        <v>0</v>
      </c>
      <c r="F235" s="387"/>
      <c r="G235" s="153" t="s">
        <v>99</v>
      </c>
      <c r="H235" s="7" t="s">
        <v>60</v>
      </c>
      <c r="I235" s="8"/>
      <c r="J235" s="98">
        <f>-E239-E240</f>
        <v>-44587.581640000004</v>
      </c>
    </row>
    <row r="236" spans="1:10" s="386" customFormat="1">
      <c r="A236" s="2" t="s">
        <v>24</v>
      </c>
      <c r="B236" s="17">
        <v>132</v>
      </c>
      <c r="C236" s="255"/>
      <c r="D236" s="121"/>
      <c r="E236" s="326">
        <v>0</v>
      </c>
      <c r="F236" s="387"/>
      <c r="G236" s="153" t="s">
        <v>10</v>
      </c>
      <c r="H236" s="7" t="s">
        <v>58</v>
      </c>
      <c r="I236" s="7">
        <v>0</v>
      </c>
      <c r="J236" s="109"/>
    </row>
    <row r="237" spans="1:10" s="386" customFormat="1" ht="16" thickBot="1">
      <c r="A237" s="2" t="s">
        <v>24</v>
      </c>
      <c r="B237" s="17" t="s">
        <v>61</v>
      </c>
      <c r="C237" s="255"/>
      <c r="D237" s="121"/>
      <c r="E237" s="326">
        <v>0</v>
      </c>
      <c r="F237" s="387"/>
      <c r="G237" s="154" t="s">
        <v>100</v>
      </c>
      <c r="H237" s="147" t="s">
        <v>62</v>
      </c>
      <c r="I237" s="110">
        <f>-E225+E243</f>
        <v>44564.391640000002</v>
      </c>
      <c r="J237" s="107">
        <v>0</v>
      </c>
    </row>
    <row r="238" spans="1:10" s="386" customFormat="1">
      <c r="A238" s="2" t="s">
        <v>156</v>
      </c>
      <c r="B238" s="70"/>
      <c r="C238" s="253"/>
      <c r="D238" s="136"/>
      <c r="E238" s="327">
        <v>0</v>
      </c>
      <c r="F238" s="387"/>
      <c r="G238" s="7"/>
      <c r="H238" s="7"/>
      <c r="I238" s="8"/>
      <c r="J238" s="262">
        <f>ROUND(SUM(I233:J237),2)</f>
        <v>0</v>
      </c>
    </row>
    <row r="239" spans="1:10" s="386" customFormat="1" ht="16" thickBot="1">
      <c r="B239" s="6"/>
      <c r="C239" s="256">
        <f>SUM(C230:C238)</f>
        <v>2507738</v>
      </c>
      <c r="D239" s="155"/>
      <c r="E239" s="328">
        <f>SUM(E230:E238)</f>
        <v>44587.581640000004</v>
      </c>
      <c r="F239" s="387"/>
      <c r="G239" s="7"/>
      <c r="H239" s="7"/>
      <c r="I239" s="7"/>
      <c r="J239" s="7"/>
    </row>
    <row r="240" spans="1:10" s="386" customFormat="1" ht="16" thickTop="1">
      <c r="B240" s="6"/>
      <c r="C240" s="257">
        <v>2507738</v>
      </c>
      <c r="D240" s="66" t="s">
        <v>161</v>
      </c>
      <c r="E240" s="329">
        <v>0</v>
      </c>
      <c r="F240" s="387"/>
      <c r="G240" s="65" t="s">
        <v>158</v>
      </c>
      <c r="H240" s="7"/>
      <c r="I240" s="12"/>
      <c r="J240" s="12"/>
    </row>
    <row r="241" spans="1:10" s="386" customFormat="1">
      <c r="C241" s="319">
        <f>C239-C240</f>
        <v>0</v>
      </c>
      <c r="D241" s="66" t="s">
        <v>87</v>
      </c>
      <c r="E241" s="328">
        <f>E239+E240+E225</f>
        <v>-5539.9530760290945</v>
      </c>
      <c r="F241" s="387"/>
      <c r="G241" s="8">
        <f>(E225*(D242/12))+(E239*(D242/24))</f>
        <v>-23.194786580024246</v>
      </c>
      <c r="H241" s="7"/>
      <c r="I241" s="8"/>
      <c r="J241" s="10"/>
    </row>
    <row r="242" spans="1:10" s="386" customFormat="1">
      <c r="C242" s="50"/>
      <c r="D242" s="226">
        <v>0.01</v>
      </c>
      <c r="E242" s="330">
        <f>ROUND(((E225)+(E239)/2)*(D242/12),2)</f>
        <v>-23.19</v>
      </c>
      <c r="F242" s="387"/>
      <c r="G242" s="65"/>
      <c r="H242" s="7"/>
      <c r="I242" s="10"/>
      <c r="J242" s="10"/>
    </row>
    <row r="243" spans="1:10" s="386" customFormat="1">
      <c r="A243" s="5"/>
      <c r="B243" s="5"/>
      <c r="C243" s="50" t="s">
        <v>1</v>
      </c>
      <c r="D243" s="143">
        <f>A228</f>
        <v>41518</v>
      </c>
      <c r="E243" s="330">
        <f>SUM(E241:E242)</f>
        <v>-5563.1430760290941</v>
      </c>
      <c r="F243" s="387"/>
      <c r="G243" s="7"/>
      <c r="H243" s="7"/>
      <c r="I243" s="8"/>
      <c r="J243" s="7"/>
    </row>
    <row r="244" spans="1:10" s="386" customFormat="1">
      <c r="A244" s="5"/>
      <c r="B244" s="5"/>
      <c r="C244" s="50"/>
      <c r="D244" s="463" t="s">
        <v>227</v>
      </c>
      <c r="E244" s="465">
        <f>'ID Def 191010'!C131*-1</f>
        <v>108659.43754694135</v>
      </c>
      <c r="F244" s="387"/>
      <c r="G244" s="7"/>
      <c r="H244" s="7"/>
      <c r="I244" s="8"/>
      <c r="J244" s="7"/>
    </row>
    <row r="245" spans="1:10" s="386" customFormat="1" ht="16" thickBot="1">
      <c r="A245" s="5"/>
      <c r="B245" s="5"/>
      <c r="C245" s="50"/>
      <c r="D245" s="463" t="s">
        <v>228</v>
      </c>
      <c r="E245" s="466">
        <f>SUM(E243:E244)</f>
        <v>103096.29447091225</v>
      </c>
      <c r="F245" s="387"/>
      <c r="G245" s="7"/>
      <c r="H245" s="7"/>
      <c r="I245" s="8"/>
      <c r="J245" s="7"/>
    </row>
    <row r="246" spans="1:10" ht="16.5" thickTop="1" thickBot="1"/>
    <row r="247" spans="1:10" s="386" customFormat="1">
      <c r="A247" s="73" t="s">
        <v>142</v>
      </c>
      <c r="B247" s="74"/>
      <c r="C247" s="75"/>
      <c r="D247" s="76"/>
      <c r="E247" s="323"/>
      <c r="G247" s="16"/>
      <c r="H247" s="5"/>
      <c r="I247" s="56"/>
      <c r="J247" s="56"/>
    </row>
    <row r="248" spans="1:10" s="386" customFormat="1">
      <c r="A248" s="220">
        <v>41578</v>
      </c>
      <c r="B248" s="71"/>
      <c r="C248" s="16"/>
      <c r="D248" s="72" t="s">
        <v>23</v>
      </c>
      <c r="E248" s="324" t="s">
        <v>21</v>
      </c>
      <c r="G248" s="5"/>
      <c r="H248" s="5"/>
      <c r="I248" s="8"/>
      <c r="J248" s="10"/>
    </row>
    <row r="249" spans="1:10" s="386" customFormat="1" ht="16" thickBot="1">
      <c r="A249" s="14"/>
      <c r="B249" s="18"/>
      <c r="C249" s="131" t="s">
        <v>21</v>
      </c>
      <c r="D249" s="131" t="s">
        <v>22</v>
      </c>
      <c r="E249" s="325" t="s">
        <v>23</v>
      </c>
      <c r="F249" s="387"/>
      <c r="G249" s="7"/>
      <c r="H249" s="7"/>
      <c r="I249" s="10"/>
      <c r="J249" s="10"/>
    </row>
    <row r="250" spans="1:10" s="386" customFormat="1">
      <c r="A250" s="2" t="s">
        <v>24</v>
      </c>
      <c r="B250" s="17">
        <v>101</v>
      </c>
      <c r="C250" s="254">
        <v>4291264</v>
      </c>
      <c r="D250" s="391" t="s">
        <v>188</v>
      </c>
      <c r="E250" s="326">
        <v>2709.04</v>
      </c>
      <c r="F250" s="387"/>
      <c r="G250" s="7"/>
      <c r="H250" s="7"/>
      <c r="I250" s="8"/>
      <c r="J250" s="7"/>
    </row>
    <row r="251" spans="1:10" s="386" customFormat="1" ht="16" thickBot="1">
      <c r="A251" s="2" t="s">
        <v>24</v>
      </c>
      <c r="B251" s="17">
        <v>111</v>
      </c>
      <c r="C251" s="254">
        <v>1602282</v>
      </c>
      <c r="D251" s="391" t="s">
        <v>188</v>
      </c>
      <c r="E251" s="326">
        <v>-3558.27</v>
      </c>
      <c r="F251" s="387"/>
      <c r="G251" s="146">
        <f>A248</f>
        <v>41578</v>
      </c>
      <c r="H251" s="147"/>
      <c r="I251" s="147"/>
      <c r="J251" s="147"/>
    </row>
    <row r="252" spans="1:10" s="386" customFormat="1" ht="16" thickBot="1">
      <c r="A252" s="2" t="s">
        <v>24</v>
      </c>
      <c r="B252" s="17">
        <v>112</v>
      </c>
      <c r="C252" s="254"/>
      <c r="D252" s="391"/>
      <c r="E252" s="326">
        <v>0</v>
      </c>
      <c r="F252" s="387"/>
      <c r="G252" s="102" t="s">
        <v>25</v>
      </c>
      <c r="H252" s="148"/>
      <c r="I252" s="149" t="s">
        <v>18</v>
      </c>
      <c r="J252" s="150" t="s">
        <v>19</v>
      </c>
    </row>
    <row r="253" spans="1:10" s="386" customFormat="1">
      <c r="A253" s="2" t="s">
        <v>24</v>
      </c>
      <c r="B253" s="17">
        <v>121</v>
      </c>
      <c r="C253" s="254"/>
      <c r="D253" s="221"/>
      <c r="E253" s="326">
        <v>0</v>
      </c>
      <c r="F253" s="387"/>
      <c r="G253" s="151" t="s">
        <v>28</v>
      </c>
      <c r="H253" s="152" t="s">
        <v>77</v>
      </c>
      <c r="I253" s="108"/>
      <c r="J253" s="396">
        <f>IF(E262&gt;0,-E262,0)</f>
        <v>-93.84</v>
      </c>
    </row>
    <row r="254" spans="1:10" s="386" customFormat="1">
      <c r="A254" s="2" t="s">
        <v>24</v>
      </c>
      <c r="B254" s="17">
        <v>122</v>
      </c>
      <c r="C254" s="255"/>
      <c r="D254" s="221"/>
      <c r="E254" s="326">
        <v>0</v>
      </c>
      <c r="F254" s="387"/>
      <c r="G254" s="153" t="s">
        <v>29</v>
      </c>
      <c r="H254" s="7" t="s">
        <v>78</v>
      </c>
      <c r="I254" s="397">
        <f>IF(E262&lt;0,-E262,0)</f>
        <v>0</v>
      </c>
      <c r="J254" s="223"/>
    </row>
    <row r="255" spans="1:10" s="386" customFormat="1">
      <c r="A255" s="2" t="s">
        <v>24</v>
      </c>
      <c r="B255" s="17">
        <v>131</v>
      </c>
      <c r="C255" s="254">
        <v>0</v>
      </c>
      <c r="D255" s="391" t="s">
        <v>188</v>
      </c>
      <c r="E255" s="326">
        <v>0</v>
      </c>
      <c r="F255" s="387"/>
      <c r="G255" s="153" t="s">
        <v>99</v>
      </c>
      <c r="H255" s="7" t="s">
        <v>60</v>
      </c>
      <c r="I255" s="397">
        <f>IF((E245-E261)&gt;0,E245-E261,0)</f>
        <v>0</v>
      </c>
      <c r="J255" s="397">
        <f>IF((E245-E261)&lt;0,E245-E261,0)</f>
        <v>-19013.619999999995</v>
      </c>
    </row>
    <row r="256" spans="1:10" s="386" customFormat="1">
      <c r="A256" s="2" t="s">
        <v>24</v>
      </c>
      <c r="B256" s="17">
        <v>132</v>
      </c>
      <c r="C256" s="255"/>
      <c r="D256" s="121"/>
      <c r="E256" s="326">
        <v>0</v>
      </c>
      <c r="F256" s="387"/>
      <c r="G256" s="153" t="s">
        <v>10</v>
      </c>
      <c r="H256" s="7" t="s">
        <v>58</v>
      </c>
      <c r="I256" s="7"/>
      <c r="J256" s="462"/>
    </row>
    <row r="257" spans="1:10" s="386" customFormat="1" ht="16" thickBot="1">
      <c r="A257" s="2" t="s">
        <v>24</v>
      </c>
      <c r="B257" s="17" t="s">
        <v>61</v>
      </c>
      <c r="C257" s="255"/>
      <c r="D257" s="121"/>
      <c r="E257" s="326">
        <v>0</v>
      </c>
      <c r="F257" s="387"/>
      <c r="G257" s="154" t="s">
        <v>100</v>
      </c>
      <c r="H257" s="147" t="s">
        <v>62</v>
      </c>
      <c r="I257" s="464">
        <f>IF((E263-E245)&gt;0,E263-E245,0)</f>
        <v>19107.459999999992</v>
      </c>
      <c r="J257" s="107">
        <f>IF((E263-E245)&lt;0,E263-E245,0)</f>
        <v>0</v>
      </c>
    </row>
    <row r="258" spans="1:10" s="386" customFormat="1">
      <c r="A258" s="2" t="s">
        <v>156</v>
      </c>
      <c r="B258" s="70"/>
      <c r="C258" s="253"/>
      <c r="D258" s="136"/>
      <c r="E258" s="327">
        <v>19862.850000000002</v>
      </c>
      <c r="F258" s="387"/>
      <c r="G258" s="7"/>
      <c r="H258" s="7"/>
      <c r="I258" s="8"/>
      <c r="J258" s="262">
        <f>ROUND(SUM(I253:J257),2)</f>
        <v>0</v>
      </c>
    </row>
    <row r="259" spans="1:10" s="386" customFormat="1" ht="16" thickBot="1">
      <c r="B259" s="6"/>
      <c r="C259" s="256">
        <f>SUM(C250:C258)</f>
        <v>5893546</v>
      </c>
      <c r="D259" s="155"/>
      <c r="E259" s="328">
        <f>SUM(E250:E258)</f>
        <v>19013.620000000003</v>
      </c>
      <c r="F259" s="387"/>
      <c r="G259" s="7"/>
      <c r="H259" s="7"/>
      <c r="I259" s="7"/>
      <c r="J259" s="7"/>
    </row>
    <row r="260" spans="1:10" s="386" customFormat="1" ht="16" thickTop="1">
      <c r="B260" s="6"/>
      <c r="C260" s="257"/>
      <c r="D260" s="66" t="s">
        <v>161</v>
      </c>
      <c r="E260" s="329">
        <v>0</v>
      </c>
      <c r="F260" s="387">
        <f>E251+E250</f>
        <v>-849.23</v>
      </c>
      <c r="G260" s="65" t="s">
        <v>158</v>
      </c>
      <c r="H260" s="7"/>
      <c r="I260" s="12"/>
      <c r="J260" s="12"/>
    </row>
    <row r="261" spans="1:10" s="386" customFormat="1">
      <c r="C261" s="319">
        <f>C259-C260</f>
        <v>5893546</v>
      </c>
      <c r="D261" s="66" t="s">
        <v>87</v>
      </c>
      <c r="E261" s="328">
        <f>E259+E260+E245</f>
        <v>122109.91447091225</v>
      </c>
      <c r="F261" s="387"/>
      <c r="G261" s="8">
        <f>(E243*(D262/12))+(E259*(D262/24))</f>
        <v>3.2863891033090891</v>
      </c>
      <c r="H261" s="7">
        <f>E262-G261</f>
        <v>90.553610896690913</v>
      </c>
      <c r="I261" s="8"/>
      <c r="J261" s="10"/>
    </row>
    <row r="262" spans="1:10" s="386" customFormat="1">
      <c r="C262" s="50"/>
      <c r="D262" s="226">
        <v>0.01</v>
      </c>
      <c r="E262" s="330">
        <f>ROUND(((E245)+(E259)/2)*(D262/12),2)</f>
        <v>93.84</v>
      </c>
      <c r="F262" s="387"/>
      <c r="G262" s="65"/>
      <c r="H262" s="7"/>
      <c r="I262" s="10"/>
      <c r="J262" s="10"/>
    </row>
    <row r="263" spans="1:10" s="386" customFormat="1" ht="16" thickBot="1">
      <c r="A263" s="5"/>
      <c r="B263" s="5"/>
      <c r="C263" s="50" t="s">
        <v>1</v>
      </c>
      <c r="D263" s="143">
        <f>A248</f>
        <v>41578</v>
      </c>
      <c r="E263" s="331">
        <f>SUM(E261:E262)</f>
        <v>122203.75447091224</v>
      </c>
      <c r="F263" s="387"/>
      <c r="G263" s="7"/>
      <c r="H263" s="7"/>
      <c r="I263" s="8"/>
      <c r="J263" s="7"/>
    </row>
    <row r="264" spans="1:10" s="386" customFormat="1" ht="16.5" thickTop="1" thickBot="1">
      <c r="E264" s="322"/>
    </row>
    <row r="265" spans="1:10" s="386" customFormat="1">
      <c r="A265" s="73" t="s">
        <v>142</v>
      </c>
      <c r="B265" s="74"/>
      <c r="C265" s="75"/>
      <c r="D265" s="76"/>
      <c r="E265" s="323"/>
      <c r="G265" s="16"/>
      <c r="H265" s="5"/>
      <c r="I265" s="56"/>
      <c r="J265" s="56"/>
    </row>
    <row r="266" spans="1:10" s="386" customFormat="1">
      <c r="A266" s="220">
        <f>EOMONTH(A248,1)</f>
        <v>41608</v>
      </c>
      <c r="B266" s="71"/>
      <c r="C266" s="16"/>
      <c r="D266" s="72" t="s">
        <v>23</v>
      </c>
      <c r="E266" s="324" t="s">
        <v>21</v>
      </c>
      <c r="G266" s="5"/>
      <c r="H266" s="5"/>
      <c r="I266" s="8"/>
      <c r="J266" s="10"/>
    </row>
    <row r="267" spans="1:10" s="386" customFormat="1" ht="16" thickBot="1">
      <c r="A267" s="14"/>
      <c r="B267" s="18"/>
      <c r="C267" s="131" t="s">
        <v>21</v>
      </c>
      <c r="D267" s="131" t="s">
        <v>22</v>
      </c>
      <c r="E267" s="325" t="s">
        <v>23</v>
      </c>
      <c r="F267" s="387"/>
      <c r="G267" s="7"/>
      <c r="H267" s="7"/>
      <c r="I267" s="10"/>
      <c r="J267" s="10"/>
    </row>
    <row r="268" spans="1:10" s="386" customFormat="1">
      <c r="A268" s="2" t="s">
        <v>24</v>
      </c>
      <c r="B268" s="17">
        <v>101</v>
      </c>
      <c r="C268" s="254">
        <v>7085932</v>
      </c>
      <c r="D268" s="391" t="s">
        <v>188</v>
      </c>
      <c r="E268" s="326">
        <v>-478.93</v>
      </c>
      <c r="F268" s="387"/>
      <c r="G268" s="7"/>
      <c r="H268" s="7"/>
      <c r="I268" s="8"/>
      <c r="J268" s="7"/>
    </row>
    <row r="269" spans="1:10" s="386" customFormat="1" ht="16" thickBot="1">
      <c r="A269" s="2" t="s">
        <v>24</v>
      </c>
      <c r="B269" s="17">
        <v>111</v>
      </c>
      <c r="C269" s="254">
        <v>2422167</v>
      </c>
      <c r="D269" s="391" t="s">
        <v>188</v>
      </c>
      <c r="E269" s="326">
        <v>80.569999999999993</v>
      </c>
      <c r="F269" s="387"/>
      <c r="G269" s="146">
        <f>A266</f>
        <v>41608</v>
      </c>
      <c r="H269" s="147"/>
      <c r="I269" s="147"/>
      <c r="J269" s="147"/>
    </row>
    <row r="270" spans="1:10" s="386" customFormat="1" ht="16" thickBot="1">
      <c r="A270" s="2" t="s">
        <v>24</v>
      </c>
      <c r="B270" s="17">
        <v>112</v>
      </c>
      <c r="C270" s="254"/>
      <c r="D270" s="391"/>
      <c r="E270" s="326">
        <v>0</v>
      </c>
      <c r="F270" s="387"/>
      <c r="G270" s="102" t="s">
        <v>25</v>
      </c>
      <c r="H270" s="148"/>
      <c r="I270" s="149" t="s">
        <v>18</v>
      </c>
      <c r="J270" s="150" t="s">
        <v>19</v>
      </c>
    </row>
    <row r="271" spans="1:10" s="386" customFormat="1">
      <c r="A271" s="2" t="s">
        <v>24</v>
      </c>
      <c r="B271" s="17">
        <v>121</v>
      </c>
      <c r="C271" s="254"/>
      <c r="D271" s="221"/>
      <c r="E271" s="326">
        <v>0</v>
      </c>
      <c r="F271" s="387"/>
      <c r="G271" s="151" t="s">
        <v>28</v>
      </c>
      <c r="H271" s="152" t="s">
        <v>77</v>
      </c>
      <c r="I271" s="108"/>
      <c r="J271" s="396">
        <f>IF(E280&gt;0,-E280,0)</f>
        <v>-101.67</v>
      </c>
    </row>
    <row r="272" spans="1:10" s="386" customFormat="1">
      <c r="A272" s="2" t="s">
        <v>24</v>
      </c>
      <c r="B272" s="17">
        <v>122</v>
      </c>
      <c r="C272" s="255"/>
      <c r="D272" s="221"/>
      <c r="E272" s="326">
        <v>0</v>
      </c>
      <c r="F272" s="387"/>
      <c r="G272" s="153" t="s">
        <v>29</v>
      </c>
      <c r="H272" s="7" t="s">
        <v>78</v>
      </c>
      <c r="I272" s="397">
        <f>IF(E280&lt;0,-E280,0)</f>
        <v>0</v>
      </c>
      <c r="J272" s="223"/>
    </row>
    <row r="273" spans="1:10" s="386" customFormat="1">
      <c r="A273" s="2" t="s">
        <v>24</v>
      </c>
      <c r="B273" s="17">
        <v>131</v>
      </c>
      <c r="C273" s="254">
        <v>0</v>
      </c>
      <c r="D273" s="391" t="s">
        <v>188</v>
      </c>
      <c r="E273" s="326">
        <v>0</v>
      </c>
      <c r="F273" s="387"/>
      <c r="G273" s="153" t="s">
        <v>99</v>
      </c>
      <c r="H273" s="7" t="s">
        <v>60</v>
      </c>
      <c r="I273" s="397">
        <f>IF((E263-E279)&gt;0,E263-E279,0)</f>
        <v>398.36000000000058</v>
      </c>
      <c r="J273" s="397">
        <f>IF((E263-E279)&lt;0,E263-E279,0)</f>
        <v>0</v>
      </c>
    </row>
    <row r="274" spans="1:10" s="386" customFormat="1">
      <c r="A274" s="2" t="s">
        <v>24</v>
      </c>
      <c r="B274" s="17">
        <v>132</v>
      </c>
      <c r="C274" s="255"/>
      <c r="D274" s="121"/>
      <c r="E274" s="326">
        <v>0</v>
      </c>
      <c r="F274" s="387"/>
      <c r="G274" s="153" t="s">
        <v>10</v>
      </c>
      <c r="H274" s="7" t="s">
        <v>58</v>
      </c>
      <c r="I274" s="7"/>
      <c r="J274" s="462"/>
    </row>
    <row r="275" spans="1:10" s="386" customFormat="1" ht="16" thickBot="1">
      <c r="A275" s="2" t="s">
        <v>24</v>
      </c>
      <c r="B275" s="17" t="s">
        <v>61</v>
      </c>
      <c r="C275" s="255"/>
      <c r="D275" s="121"/>
      <c r="E275" s="326">
        <v>0</v>
      </c>
      <c r="F275" s="387"/>
      <c r="G275" s="154" t="s">
        <v>100</v>
      </c>
      <c r="H275" s="147" t="s">
        <v>62</v>
      </c>
      <c r="I275" s="464">
        <f>IF((E281-E263)&gt;0,E281-E263,0)</f>
        <v>0</v>
      </c>
      <c r="J275" s="107">
        <f>IF((E281-E263)&lt;0,E281-E263,0)</f>
        <v>-296.69000000000233</v>
      </c>
    </row>
    <row r="276" spans="1:10" s="386" customFormat="1">
      <c r="A276" s="2" t="s">
        <v>156</v>
      </c>
      <c r="B276" s="70"/>
      <c r="C276" s="253"/>
      <c r="D276" s="136"/>
      <c r="E276" s="327">
        <v>0</v>
      </c>
      <c r="F276" s="387"/>
      <c r="G276" s="7"/>
      <c r="H276" s="7"/>
      <c r="I276" s="8"/>
      <c r="J276" s="262">
        <f>ROUND(SUM(I271:J275),2)</f>
        <v>0</v>
      </c>
    </row>
    <row r="277" spans="1:10" s="386" customFormat="1" ht="16" thickBot="1">
      <c r="B277" s="6"/>
      <c r="C277" s="256">
        <f>SUM(C268:C276)</f>
        <v>9508099</v>
      </c>
      <c r="D277" s="155"/>
      <c r="E277" s="328">
        <f>SUM(E268:E276)</f>
        <v>-398.36</v>
      </c>
      <c r="F277" s="387"/>
      <c r="G277" s="7"/>
      <c r="H277" s="7"/>
      <c r="I277" s="7"/>
      <c r="J277" s="7"/>
    </row>
    <row r="278" spans="1:10" s="386" customFormat="1" ht="16" thickTop="1">
      <c r="B278" s="6"/>
      <c r="C278" s="257">
        <v>9508099</v>
      </c>
      <c r="D278" s="66" t="s">
        <v>161</v>
      </c>
      <c r="E278" s="329">
        <v>0</v>
      </c>
      <c r="F278" s="387"/>
      <c r="G278" s="65" t="s">
        <v>158</v>
      </c>
      <c r="H278" s="7"/>
      <c r="I278" s="12"/>
      <c r="J278" s="12"/>
    </row>
    <row r="279" spans="1:10" s="386" customFormat="1">
      <c r="C279" s="319">
        <f>C277-C278</f>
        <v>0</v>
      </c>
      <c r="D279" s="66" t="s">
        <v>87</v>
      </c>
      <c r="E279" s="328">
        <f>E277+E278+E263</f>
        <v>121805.39447091224</v>
      </c>
      <c r="F279" s="387"/>
      <c r="G279" s="8">
        <f>(E261*(D280/12))+(E277*(D280/24))</f>
        <v>101.59227872576022</v>
      </c>
      <c r="H279" s="7">
        <f>E280-G279</f>
        <v>7.7721274239777927E-2</v>
      </c>
      <c r="I279" s="8"/>
      <c r="J279" s="10"/>
    </row>
    <row r="280" spans="1:10" s="386" customFormat="1">
      <c r="C280" s="50"/>
      <c r="D280" s="226">
        <v>0.01</v>
      </c>
      <c r="E280" s="330">
        <f>ROUND(((E263)+(E277)/2)*(D280/12),2)</f>
        <v>101.67</v>
      </c>
      <c r="F280" s="387"/>
      <c r="G280" s="65"/>
      <c r="H280" s="7"/>
      <c r="I280" s="10"/>
      <c r="J280" s="10"/>
    </row>
    <row r="281" spans="1:10" s="386" customFormat="1" ht="16" thickBot="1">
      <c r="A281" s="5"/>
      <c r="B281" s="5"/>
      <c r="C281" s="50" t="s">
        <v>1</v>
      </c>
      <c r="D281" s="143">
        <f>A266</f>
        <v>41608</v>
      </c>
      <c r="E281" s="331">
        <f>SUM(E279:E280)</f>
        <v>121907.06447091224</v>
      </c>
      <c r="F281" s="387"/>
      <c r="G281" s="7"/>
      <c r="H281" s="7"/>
      <c r="I281" s="8"/>
      <c r="J281" s="7"/>
    </row>
    <row r="282" spans="1:10" s="386" customFormat="1" ht="16.5" thickTop="1" thickBot="1">
      <c r="E282" s="322"/>
    </row>
    <row r="283" spans="1:10" s="386" customFormat="1">
      <c r="A283" s="73" t="s">
        <v>142</v>
      </c>
      <c r="B283" s="74"/>
      <c r="C283" s="75"/>
      <c r="D283" s="76"/>
      <c r="E283" s="323"/>
      <c r="G283" s="16"/>
      <c r="H283" s="5"/>
      <c r="I283" s="56"/>
      <c r="J283" s="56"/>
    </row>
    <row r="284" spans="1:10" s="386" customFormat="1">
      <c r="A284" s="220">
        <f>EOMONTH(A266,1)</f>
        <v>41639</v>
      </c>
      <c r="B284" s="71"/>
      <c r="C284" s="16"/>
      <c r="D284" s="72" t="s">
        <v>23</v>
      </c>
      <c r="E284" s="324" t="s">
        <v>21</v>
      </c>
      <c r="G284" s="5"/>
      <c r="H284" s="5"/>
      <c r="I284" s="8"/>
      <c r="J284" s="10"/>
    </row>
    <row r="285" spans="1:10" s="386" customFormat="1" ht="16" thickBot="1">
      <c r="A285" s="14"/>
      <c r="B285" s="18"/>
      <c r="C285" s="131" t="s">
        <v>21</v>
      </c>
      <c r="D285" s="131" t="s">
        <v>22</v>
      </c>
      <c r="E285" s="325" t="s">
        <v>23</v>
      </c>
      <c r="F285" s="387"/>
      <c r="G285" s="7"/>
      <c r="H285" s="7"/>
      <c r="I285" s="10"/>
      <c r="J285" s="10"/>
    </row>
    <row r="286" spans="1:10" s="386" customFormat="1">
      <c r="A286" s="2" t="s">
        <v>24</v>
      </c>
      <c r="B286" s="17">
        <v>101</v>
      </c>
      <c r="C286" s="254">
        <f>Jan!$K$23</f>
        <v>8991869</v>
      </c>
      <c r="D286" s="391">
        <v>-1.4999999999999999E-4</v>
      </c>
      <c r="E286" s="326">
        <f>C286*D286</f>
        <v>-1348.7803499999998</v>
      </c>
      <c r="F286" s="387"/>
      <c r="G286" s="7"/>
      <c r="H286" s="7"/>
      <c r="I286" s="8"/>
      <c r="J286" s="7"/>
    </row>
    <row r="287" spans="1:10" s="386" customFormat="1" ht="16" thickBot="1">
      <c r="A287" s="2" t="s">
        <v>24</v>
      </c>
      <c r="B287" s="17">
        <v>111</v>
      </c>
      <c r="C287" s="254">
        <f>Jan!$K$24</f>
        <v>2818068</v>
      </c>
      <c r="D287" s="391">
        <v>-1.4999999999999999E-4</v>
      </c>
      <c r="E287" s="326">
        <f t="shared" ref="E287:E293" si="5">C287*D287</f>
        <v>-422.71019999999999</v>
      </c>
      <c r="F287" s="387"/>
      <c r="G287" s="146">
        <f>A284</f>
        <v>41639</v>
      </c>
      <c r="H287" s="147"/>
      <c r="I287" s="147"/>
      <c r="J287" s="147"/>
    </row>
    <row r="288" spans="1:10" s="386" customFormat="1" ht="16" thickBot="1">
      <c r="A288" s="2" t="s">
        <v>24</v>
      </c>
      <c r="B288" s="17">
        <v>112</v>
      </c>
      <c r="C288" s="254"/>
      <c r="D288" s="391"/>
      <c r="E288" s="326">
        <f t="shared" si="5"/>
        <v>0</v>
      </c>
      <c r="F288" s="387"/>
      <c r="G288" s="102" t="s">
        <v>25</v>
      </c>
      <c r="H288" s="148"/>
      <c r="I288" s="149" t="s">
        <v>18</v>
      </c>
      <c r="J288" s="150" t="s">
        <v>19</v>
      </c>
    </row>
    <row r="289" spans="1:10" s="386" customFormat="1">
      <c r="A289" s="2" t="s">
        <v>24</v>
      </c>
      <c r="B289" s="17">
        <v>121</v>
      </c>
      <c r="C289" s="254"/>
      <c r="D289" s="221"/>
      <c r="E289" s="326">
        <f t="shared" si="5"/>
        <v>0</v>
      </c>
      <c r="F289" s="387"/>
      <c r="G289" s="151" t="s">
        <v>28</v>
      </c>
      <c r="H289" s="152" t="s">
        <v>77</v>
      </c>
      <c r="I289" s="108"/>
      <c r="J289" s="396">
        <f>IF(E298&gt;0,-E298,0)</f>
        <v>-100.85</v>
      </c>
    </row>
    <row r="290" spans="1:10" s="386" customFormat="1">
      <c r="A290" s="2" t="s">
        <v>24</v>
      </c>
      <c r="B290" s="17">
        <v>122</v>
      </c>
      <c r="C290" s="255"/>
      <c r="D290" s="221"/>
      <c r="E290" s="326">
        <f t="shared" si="5"/>
        <v>0</v>
      </c>
      <c r="F290" s="387"/>
      <c r="G290" s="153" t="s">
        <v>29</v>
      </c>
      <c r="H290" s="7" t="s">
        <v>78</v>
      </c>
      <c r="I290" s="397">
        <f>IF(E298&lt;0,-E298,0)</f>
        <v>0</v>
      </c>
      <c r="J290" s="223"/>
    </row>
    <row r="291" spans="1:10" s="386" customFormat="1">
      <c r="A291" s="2" t="s">
        <v>24</v>
      </c>
      <c r="B291" s="17">
        <v>131</v>
      </c>
      <c r="C291" s="254">
        <f>Jan!$K$41</f>
        <v>0</v>
      </c>
      <c r="D291" s="391">
        <v>1.042E-2</v>
      </c>
      <c r="E291" s="326">
        <f t="shared" si="5"/>
        <v>0</v>
      </c>
      <c r="F291" s="387"/>
      <c r="G291" s="153" t="s">
        <v>99</v>
      </c>
      <c r="H291" s="7" t="s">
        <v>60</v>
      </c>
      <c r="I291" s="397">
        <f>IF((E281-E297)&gt;0,E281-E297,0)</f>
        <v>1771.4905500000023</v>
      </c>
      <c r="J291" s="397">
        <f>IF((E281-E297)&lt;0,E281-E297,0)</f>
        <v>0</v>
      </c>
    </row>
    <row r="292" spans="1:10" s="386" customFormat="1">
      <c r="A292" s="2" t="s">
        <v>24</v>
      </c>
      <c r="B292" s="17">
        <v>132</v>
      </c>
      <c r="C292" s="255"/>
      <c r="D292" s="121"/>
      <c r="E292" s="326">
        <f t="shared" si="5"/>
        <v>0</v>
      </c>
      <c r="F292" s="387"/>
      <c r="G292" s="153" t="s">
        <v>10</v>
      </c>
      <c r="H292" s="7" t="s">
        <v>58</v>
      </c>
      <c r="I292" s="7"/>
      <c r="J292" s="462"/>
    </row>
    <row r="293" spans="1:10" s="386" customFormat="1" ht="16" thickBot="1">
      <c r="A293" s="2" t="s">
        <v>24</v>
      </c>
      <c r="B293" s="17" t="s">
        <v>61</v>
      </c>
      <c r="C293" s="255"/>
      <c r="D293" s="121"/>
      <c r="E293" s="326">
        <f t="shared" si="5"/>
        <v>0</v>
      </c>
      <c r="F293" s="387"/>
      <c r="G293" s="154" t="s">
        <v>100</v>
      </c>
      <c r="H293" s="147" t="s">
        <v>62</v>
      </c>
      <c r="I293" s="464">
        <f>IF((E299-E281)&gt;0,E299-E281,0)</f>
        <v>0</v>
      </c>
      <c r="J293" s="107">
        <f>IF((E299-E281)&lt;0,E299-E281,0)</f>
        <v>-1670.6405499999964</v>
      </c>
    </row>
    <row r="294" spans="1:10" s="386" customFormat="1">
      <c r="A294" s="2" t="s">
        <v>156</v>
      </c>
      <c r="B294" s="70"/>
      <c r="C294" s="253"/>
      <c r="D294" s="136"/>
      <c r="E294" s="327">
        <v>0</v>
      </c>
      <c r="F294" s="387"/>
      <c r="G294" s="7"/>
      <c r="H294" s="7"/>
      <c r="I294" s="8"/>
      <c r="J294" s="262">
        <f>ROUND(SUM(I289:J293),2)</f>
        <v>0</v>
      </c>
    </row>
    <row r="295" spans="1:10" s="386" customFormat="1" ht="16" thickBot="1">
      <c r="B295" s="6"/>
      <c r="C295" s="256">
        <f>SUM(C286:C294)</f>
        <v>11809937</v>
      </c>
      <c r="D295" s="155"/>
      <c r="E295" s="328">
        <f>SUM(E286:E294)</f>
        <v>-1771.4905499999998</v>
      </c>
      <c r="F295" s="387"/>
      <c r="G295" s="7"/>
      <c r="H295" s="7"/>
      <c r="I295" s="7"/>
      <c r="J295" s="7"/>
    </row>
    <row r="296" spans="1:10" s="386" customFormat="1" ht="16" thickTop="1">
      <c r="B296" s="6"/>
      <c r="C296" s="257">
        <v>13760186</v>
      </c>
      <c r="D296" s="66" t="s">
        <v>161</v>
      </c>
      <c r="E296" s="329">
        <v>0</v>
      </c>
      <c r="F296" s="387"/>
      <c r="G296" s="65" t="s">
        <v>158</v>
      </c>
      <c r="H296" s="7"/>
      <c r="I296" s="12"/>
      <c r="J296" s="12"/>
    </row>
    <row r="297" spans="1:10" s="386" customFormat="1">
      <c r="C297" s="319">
        <f>C295-C296</f>
        <v>-1950249</v>
      </c>
      <c r="D297" s="66" t="s">
        <v>87</v>
      </c>
      <c r="E297" s="328">
        <f>E295+E296+E281</f>
        <v>120135.57392091224</v>
      </c>
      <c r="F297" s="387"/>
      <c r="G297" s="8">
        <f>(E279*(D298/12))+(E295*(D298/24))</f>
        <v>100.76637432992688</v>
      </c>
      <c r="H297" s="7">
        <f>E298-G297</f>
        <v>8.3625670073118386E-2</v>
      </c>
      <c r="I297" s="8"/>
      <c r="J297" s="10"/>
    </row>
    <row r="298" spans="1:10" s="386" customFormat="1">
      <c r="C298" s="50"/>
      <c r="D298" s="226">
        <v>0.01</v>
      </c>
      <c r="E298" s="330">
        <f>ROUND(((E281)+(E295)/2)*(D298/12),2)</f>
        <v>100.85</v>
      </c>
      <c r="F298" s="387"/>
      <c r="G298" s="65"/>
      <c r="H298" s="7"/>
      <c r="I298" s="10"/>
      <c r="J298" s="10"/>
    </row>
    <row r="299" spans="1:10" s="386" customFormat="1" ht="16" thickBot="1">
      <c r="A299" s="5"/>
      <c r="B299" s="5"/>
      <c r="C299" s="50" t="s">
        <v>1</v>
      </c>
      <c r="D299" s="143">
        <f>A284</f>
        <v>41639</v>
      </c>
      <c r="E299" s="331">
        <f>SUM(E297:E298)</f>
        <v>120236.42392091225</v>
      </c>
      <c r="F299" s="387"/>
      <c r="G299" s="477" t="s">
        <v>246</v>
      </c>
      <c r="H299" s="478" t="e">
        <f ca="1">_xll.Get_Balance(I299,"YTD","USD","Total","A","","001","191000","GD","ID","DL")-E299</f>
        <v>#NAME?</v>
      </c>
      <c r="I299" s="479">
        <v>201312</v>
      </c>
      <c r="J299" s="7"/>
    </row>
    <row r="300" spans="1:10" ht="16" thickTop="1"/>
    <row r="355" spans="16:16">
      <c r="P355" s="1">
        <f>(C343*M354)/12+((C346+C349+C350)*M354)/24</f>
        <v>0</v>
      </c>
    </row>
  </sheetData>
  <phoneticPr fontId="0" type="noConversion"/>
  <conditionalFormatting sqref="C25">
    <cfRule type="cellIs" dxfId="163" priority="48" operator="notEqual">
      <formula>0</formula>
    </cfRule>
  </conditionalFormatting>
  <conditionalFormatting sqref="J22">
    <cfRule type="cellIs" dxfId="162" priority="46" stopIfTrue="1" operator="equal">
      <formula>0</formula>
    </cfRule>
    <cfRule type="cellIs" dxfId="161" priority="47" stopIfTrue="1" operator="notEqual">
      <formula>0</formula>
    </cfRule>
  </conditionalFormatting>
  <conditionalFormatting sqref="C43">
    <cfRule type="cellIs" dxfId="160" priority="45" operator="notEqual">
      <formula>0</formula>
    </cfRule>
  </conditionalFormatting>
  <conditionalFormatting sqref="J40">
    <cfRule type="cellIs" dxfId="159" priority="43" stopIfTrue="1" operator="equal">
      <formula>0</formula>
    </cfRule>
    <cfRule type="cellIs" dxfId="158" priority="44" stopIfTrue="1" operator="notEqual">
      <formula>0</formula>
    </cfRule>
  </conditionalFormatting>
  <conditionalFormatting sqref="C61">
    <cfRule type="cellIs" dxfId="157" priority="42" operator="notEqual">
      <formula>0</formula>
    </cfRule>
  </conditionalFormatting>
  <conditionalFormatting sqref="J58">
    <cfRule type="cellIs" dxfId="156" priority="40" stopIfTrue="1" operator="equal">
      <formula>0</formula>
    </cfRule>
    <cfRule type="cellIs" dxfId="155" priority="41" stopIfTrue="1" operator="notEqual">
      <formula>0</formula>
    </cfRule>
  </conditionalFormatting>
  <conditionalFormatting sqref="C79">
    <cfRule type="cellIs" dxfId="154" priority="39" operator="notEqual">
      <formula>0</formula>
    </cfRule>
  </conditionalFormatting>
  <conditionalFormatting sqref="J76">
    <cfRule type="cellIs" dxfId="153" priority="37" stopIfTrue="1" operator="equal">
      <formula>0</formula>
    </cfRule>
    <cfRule type="cellIs" dxfId="152" priority="38" stopIfTrue="1" operator="notEqual">
      <formula>0</formula>
    </cfRule>
  </conditionalFormatting>
  <conditionalFormatting sqref="C97">
    <cfRule type="cellIs" dxfId="151" priority="36" operator="notEqual">
      <formula>0</formula>
    </cfRule>
  </conditionalFormatting>
  <conditionalFormatting sqref="J94">
    <cfRule type="cellIs" dxfId="150" priority="34" stopIfTrue="1" operator="equal">
      <formula>0</formula>
    </cfRule>
    <cfRule type="cellIs" dxfId="149" priority="35" stopIfTrue="1" operator="notEqual">
      <formula>0</formula>
    </cfRule>
  </conditionalFormatting>
  <conditionalFormatting sqref="C115">
    <cfRule type="cellIs" dxfId="148" priority="33" operator="notEqual">
      <formula>0</formula>
    </cfRule>
  </conditionalFormatting>
  <conditionalFormatting sqref="J112">
    <cfRule type="cellIs" dxfId="147" priority="31" stopIfTrue="1" operator="equal">
      <formula>0</formula>
    </cfRule>
    <cfRule type="cellIs" dxfId="146" priority="32" stopIfTrue="1" operator="notEqual">
      <formula>0</formula>
    </cfRule>
  </conditionalFormatting>
  <conditionalFormatting sqref="C133">
    <cfRule type="cellIs" dxfId="145" priority="30" operator="notEqual">
      <formula>0</formula>
    </cfRule>
  </conditionalFormatting>
  <conditionalFormatting sqref="J130">
    <cfRule type="cellIs" dxfId="144" priority="28" stopIfTrue="1" operator="equal">
      <formula>0</formula>
    </cfRule>
    <cfRule type="cellIs" dxfId="143" priority="29" stopIfTrue="1" operator="notEqual">
      <formula>0</formula>
    </cfRule>
  </conditionalFormatting>
  <conditionalFormatting sqref="C151">
    <cfRule type="cellIs" dxfId="142" priority="27" operator="notEqual">
      <formula>0</formula>
    </cfRule>
  </conditionalFormatting>
  <conditionalFormatting sqref="J148">
    <cfRule type="cellIs" dxfId="141" priority="25" stopIfTrue="1" operator="equal">
      <formula>0</formula>
    </cfRule>
    <cfRule type="cellIs" dxfId="140" priority="26" stopIfTrue="1" operator="notEqual">
      <formula>0</formula>
    </cfRule>
  </conditionalFormatting>
  <conditionalFormatting sqref="C169">
    <cfRule type="cellIs" dxfId="139" priority="24" operator="notEqual">
      <formula>0</formula>
    </cfRule>
  </conditionalFormatting>
  <conditionalFormatting sqref="J166">
    <cfRule type="cellIs" dxfId="138" priority="22" stopIfTrue="1" operator="equal">
      <formula>0</formula>
    </cfRule>
    <cfRule type="cellIs" dxfId="137" priority="23" stopIfTrue="1" operator="notEqual">
      <formula>0</formula>
    </cfRule>
  </conditionalFormatting>
  <conditionalFormatting sqref="C187">
    <cfRule type="cellIs" dxfId="136" priority="21" operator="notEqual">
      <formula>0</formula>
    </cfRule>
  </conditionalFormatting>
  <conditionalFormatting sqref="J184">
    <cfRule type="cellIs" dxfId="135" priority="19" stopIfTrue="1" operator="equal">
      <formula>0</formula>
    </cfRule>
    <cfRule type="cellIs" dxfId="134" priority="20" stopIfTrue="1" operator="notEqual">
      <formula>0</formula>
    </cfRule>
  </conditionalFormatting>
  <conditionalFormatting sqref="C205">
    <cfRule type="cellIs" dxfId="133" priority="18" operator="notEqual">
      <formula>0</formula>
    </cfRule>
  </conditionalFormatting>
  <conditionalFormatting sqref="J202">
    <cfRule type="cellIs" dxfId="132" priority="16" stopIfTrue="1" operator="equal">
      <formula>0</formula>
    </cfRule>
    <cfRule type="cellIs" dxfId="131" priority="17" stopIfTrue="1" operator="notEqual">
      <formula>0</formula>
    </cfRule>
  </conditionalFormatting>
  <conditionalFormatting sqref="C223">
    <cfRule type="cellIs" dxfId="130" priority="15" operator="notEqual">
      <formula>0</formula>
    </cfRule>
  </conditionalFormatting>
  <conditionalFormatting sqref="J220">
    <cfRule type="cellIs" dxfId="129" priority="13" stopIfTrue="1" operator="equal">
      <formula>0</formula>
    </cfRule>
    <cfRule type="cellIs" dxfId="128" priority="14" stopIfTrue="1" operator="notEqual">
      <formula>0</formula>
    </cfRule>
  </conditionalFormatting>
  <conditionalFormatting sqref="C241">
    <cfRule type="cellIs" dxfId="127" priority="12" operator="notEqual">
      <formula>0</formula>
    </cfRule>
  </conditionalFormatting>
  <conditionalFormatting sqref="J238">
    <cfRule type="cellIs" dxfId="126" priority="10" stopIfTrue="1" operator="equal">
      <formula>0</formula>
    </cfRule>
    <cfRule type="cellIs" dxfId="125" priority="11" stopIfTrue="1" operator="notEqual">
      <formula>0</formula>
    </cfRule>
  </conditionalFormatting>
  <conditionalFormatting sqref="C261">
    <cfRule type="cellIs" dxfId="124" priority="9" operator="notEqual">
      <formula>0</formula>
    </cfRule>
  </conditionalFormatting>
  <conditionalFormatting sqref="J258">
    <cfRule type="cellIs" dxfId="123" priority="7" stopIfTrue="1" operator="equal">
      <formula>0</formula>
    </cfRule>
    <cfRule type="cellIs" dxfId="122" priority="8" stopIfTrue="1" operator="notEqual">
      <formula>0</formula>
    </cfRule>
  </conditionalFormatting>
  <conditionalFormatting sqref="C279">
    <cfRule type="cellIs" dxfId="121" priority="6" operator="notEqual">
      <formula>0</formula>
    </cfRule>
  </conditionalFormatting>
  <conditionalFormatting sqref="J276">
    <cfRule type="cellIs" dxfId="120" priority="4" stopIfTrue="1" operator="equal">
      <formula>0</formula>
    </cfRule>
    <cfRule type="cellIs" dxfId="119" priority="5" stopIfTrue="1" operator="notEqual">
      <formula>0</formula>
    </cfRule>
  </conditionalFormatting>
  <conditionalFormatting sqref="C297">
    <cfRule type="cellIs" dxfId="118" priority="3" operator="notEqual">
      <formula>0</formula>
    </cfRule>
  </conditionalFormatting>
  <conditionalFormatting sqref="J294">
    <cfRule type="cellIs" dxfId="117" priority="1" stopIfTrue="1" operator="equal">
      <formula>0</formula>
    </cfRule>
    <cfRule type="cellIs" dxfId="116" priority="2" stopIfTrue="1" operator="notEqual">
      <formula>0</formula>
    </cfRule>
  </conditionalFormatting>
  <printOptions gridLinesSet="0"/>
  <pageMargins left="0.5" right="0.5" top="1.04" bottom="0.5" header="0.25" footer="0.25"/>
  <pageSetup scale="38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FFFF00"/>
    <pageSetUpPr fitToPage="1"/>
  </sheetPr>
  <dimension ref="A1:R1010"/>
  <sheetViews>
    <sheetView showGridLines="0" view="pageBreakPreview" topLeftCell="A109" zoomScaleNormal="100" zoomScaleSheetLayoutView="100" workbookViewId="0">
      <selection activeCell="E128" sqref="E128"/>
    </sheetView>
  </sheetViews>
  <sheetFormatPr defaultColWidth="9.8984375" defaultRowHeight="15.5"/>
  <cols>
    <col min="1" max="1" width="12.3984375" style="53" customWidth="1"/>
    <col min="2" max="2" width="39.8984375" style="1" customWidth="1"/>
    <col min="3" max="3" width="24.8984375" style="1" customWidth="1"/>
    <col min="4" max="4" width="20.09765625" style="1" bestFit="1" customWidth="1"/>
    <col min="5" max="5" width="19.69921875" style="1" customWidth="1"/>
    <col min="6" max="6" width="16.69921875" style="1" customWidth="1"/>
    <col min="7" max="7" width="16.69921875" style="1" hidden="1" customWidth="1"/>
    <col min="8" max="8" width="13.09765625" style="1" hidden="1" customWidth="1"/>
    <col min="9" max="9" width="14.296875" style="1" hidden="1" customWidth="1"/>
    <col min="10" max="10" width="16" style="1" hidden="1" customWidth="1"/>
    <col min="11" max="11" width="11.296875" style="1" hidden="1" customWidth="1"/>
    <col min="12" max="12" width="25.69921875" style="1" bestFit="1" customWidth="1"/>
    <col min="13" max="13" width="18" style="52" customWidth="1"/>
    <col min="14" max="14" width="3.09765625" style="1" customWidth="1"/>
    <col min="15" max="15" width="25.8984375" style="1" customWidth="1"/>
    <col min="16" max="16" width="20.296875" style="1" customWidth="1"/>
    <col min="17" max="17" width="19.8984375" style="1" customWidth="1"/>
    <col min="18" max="18" width="20" style="1" customWidth="1"/>
    <col min="19" max="16384" width="9.8984375" style="1"/>
  </cols>
  <sheetData>
    <row r="1" spans="1:18" ht="18.75" customHeight="1">
      <c r="A1" s="51" t="s">
        <v>13</v>
      </c>
    </row>
    <row r="2" spans="1:18">
      <c r="A2" s="51" t="s">
        <v>0</v>
      </c>
    </row>
    <row r="3" spans="1:18">
      <c r="A3" s="51" t="s">
        <v>15</v>
      </c>
    </row>
    <row r="4" spans="1:18">
      <c r="A4" s="51" t="s">
        <v>104</v>
      </c>
    </row>
    <row r="5" spans="1:18">
      <c r="C5" s="55" t="s">
        <v>21</v>
      </c>
      <c r="D5" s="55" t="s">
        <v>2</v>
      </c>
      <c r="E5" s="55" t="s">
        <v>3</v>
      </c>
      <c r="F5" s="55"/>
      <c r="J5" s="46"/>
    </row>
    <row r="6" spans="1:18">
      <c r="A6" s="62"/>
      <c r="B6" s="69"/>
      <c r="C6" s="55" t="s">
        <v>16</v>
      </c>
      <c r="D6" s="55" t="s">
        <v>7</v>
      </c>
      <c r="E6" s="55" t="s">
        <v>7</v>
      </c>
      <c r="F6" s="55" t="s">
        <v>4</v>
      </c>
      <c r="O6" s="92"/>
      <c r="P6" s="91"/>
      <c r="Q6" s="19"/>
      <c r="R6" s="19"/>
    </row>
    <row r="7" spans="1:18">
      <c r="A7" s="62"/>
      <c r="B7" s="69"/>
      <c r="C7" s="55"/>
      <c r="D7" s="55"/>
      <c r="E7" s="55"/>
      <c r="O7" s="92"/>
      <c r="P7" s="91"/>
      <c r="Q7" s="19"/>
      <c r="R7" s="19"/>
    </row>
    <row r="8" spans="1:18" s="333" customFormat="1" ht="16" thickBot="1">
      <c r="A8" s="103">
        <v>41183</v>
      </c>
      <c r="B8" s="50" t="s">
        <v>56</v>
      </c>
      <c r="C8" s="158">
        <v>-6056575.765431677</v>
      </c>
      <c r="D8" s="158">
        <v>-6691252.0927546788</v>
      </c>
      <c r="E8" s="158">
        <v>809169.36732299952</v>
      </c>
      <c r="F8" s="158">
        <v>-174493.04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57"/>
      <c r="N8" s="335"/>
      <c r="O8" s="335"/>
      <c r="P8" s="335"/>
      <c r="Q8" s="335"/>
      <c r="R8" s="19"/>
    </row>
    <row r="9" spans="1:18" s="386" customFormat="1" ht="16" thickTop="1">
      <c r="A9" s="103"/>
      <c r="B9" s="50"/>
      <c r="C9" s="11"/>
      <c r="D9" s="11"/>
      <c r="E9" s="11"/>
      <c r="F9" s="11"/>
      <c r="G9" s="11"/>
      <c r="H9" s="11"/>
      <c r="I9" s="11"/>
      <c r="J9" s="11"/>
      <c r="K9" s="11"/>
      <c r="L9" s="11"/>
      <c r="M9" s="57"/>
      <c r="N9" s="387"/>
      <c r="O9" s="387"/>
      <c r="P9" s="387"/>
      <c r="Q9" s="387"/>
      <c r="R9" s="387"/>
    </row>
    <row r="10" spans="1:18" s="386" customFormat="1">
      <c r="A10" s="258"/>
      <c r="B10" s="161" t="s">
        <v>11</v>
      </c>
      <c r="C10" s="204">
        <v>7340824.0093394704</v>
      </c>
      <c r="D10" s="204">
        <v>4103157.0665184702</v>
      </c>
      <c r="E10" s="204">
        <v>3134193.9628209998</v>
      </c>
      <c r="F10" s="204">
        <v>103472.98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/>
      <c r="N10" s="204"/>
      <c r="O10" s="203"/>
      <c r="P10" s="203"/>
      <c r="Q10" s="203"/>
      <c r="R10" s="203"/>
    </row>
    <row r="11" spans="1:18" s="386" customFormat="1" ht="16" thickBot="1">
      <c r="A11" s="258"/>
      <c r="B11" s="161" t="s">
        <v>212</v>
      </c>
      <c r="C11" s="392">
        <f>SUM(C8:C10)</f>
        <v>1284248.2439077934</v>
      </c>
      <c r="D11" s="392">
        <f>SUM(D8:D10)</f>
        <v>-2588095.0262362086</v>
      </c>
      <c r="E11" s="392">
        <f>SUM(E8:E10)</f>
        <v>3943363.3301439993</v>
      </c>
      <c r="F11" s="392">
        <f>SUM(F8:F10)</f>
        <v>-71020.060000000012</v>
      </c>
      <c r="G11" s="392">
        <v>0</v>
      </c>
      <c r="H11" s="392">
        <v>0</v>
      </c>
      <c r="I11" s="392">
        <v>0</v>
      </c>
      <c r="J11" s="392">
        <v>0</v>
      </c>
      <c r="K11" s="392">
        <v>0</v>
      </c>
      <c r="L11" s="392">
        <f>SUM(L8:L10)</f>
        <v>0</v>
      </c>
      <c r="M11" s="392"/>
      <c r="N11" s="392"/>
      <c r="O11" s="203"/>
      <c r="P11" s="203"/>
      <c r="Q11" s="203"/>
      <c r="R11" s="203"/>
    </row>
    <row r="12" spans="1:18" ht="16.5" thickTop="1" thickBot="1"/>
    <row r="13" spans="1:18" s="386" customFormat="1" ht="16" thickBot="1">
      <c r="A13" s="58">
        <v>41243</v>
      </c>
      <c r="B13" s="59" t="s">
        <v>84</v>
      </c>
      <c r="C13" s="50">
        <f>SUM(D13:L13)</f>
        <v>1615352.97</v>
      </c>
      <c r="D13" s="246">
        <v>1685691.83</v>
      </c>
      <c r="E13" s="246">
        <v>-70338.86</v>
      </c>
      <c r="F13" s="161">
        <v>0</v>
      </c>
      <c r="G13" s="161"/>
      <c r="H13" s="161"/>
      <c r="I13" s="161"/>
      <c r="J13" s="390"/>
      <c r="K13" s="161"/>
      <c r="L13" s="161">
        <v>0</v>
      </c>
      <c r="M13" s="133"/>
      <c r="N13" s="50"/>
      <c r="O13" s="338" t="s">
        <v>106</v>
      </c>
      <c r="P13" s="93"/>
      <c r="Q13" s="93"/>
      <c r="R13" s="94"/>
    </row>
    <row r="14" spans="1:18" s="386" customFormat="1">
      <c r="A14" s="58"/>
      <c r="B14" s="59" t="s">
        <v>148</v>
      </c>
      <c r="C14" s="50">
        <f>SUM(D14:F14)</f>
        <v>0</v>
      </c>
      <c r="D14" s="243"/>
      <c r="E14" s="243">
        <v>0</v>
      </c>
      <c r="F14" s="161"/>
      <c r="G14" s="161"/>
      <c r="H14" s="161"/>
      <c r="I14" s="161"/>
      <c r="J14" s="161"/>
      <c r="K14" s="161"/>
      <c r="L14" s="161"/>
      <c r="M14" s="133"/>
      <c r="N14" s="50"/>
      <c r="O14" s="349" t="s">
        <v>213</v>
      </c>
      <c r="P14" s="341" t="s">
        <v>27</v>
      </c>
      <c r="Q14" s="337">
        <v>0</v>
      </c>
      <c r="R14" s="339">
        <f>-C10</f>
        <v>-7340824.0093394704</v>
      </c>
    </row>
    <row r="15" spans="1:18" s="386" customFormat="1">
      <c r="A15" s="58"/>
      <c r="B15" s="20" t="s">
        <v>157</v>
      </c>
      <c r="C15" s="50">
        <f>SUM(D15:L15)</f>
        <v>0</v>
      </c>
      <c r="D15" s="244">
        <v>0</v>
      </c>
      <c r="E15" s="243"/>
      <c r="F15" s="161"/>
      <c r="G15" s="161"/>
      <c r="H15" s="161"/>
      <c r="I15" s="161"/>
      <c r="J15" s="161"/>
      <c r="K15" s="161"/>
      <c r="L15" s="161"/>
      <c r="M15" s="133"/>
      <c r="N15" s="50"/>
      <c r="O15" s="336" t="s">
        <v>79</v>
      </c>
      <c r="P15" s="341" t="s">
        <v>17</v>
      </c>
      <c r="Q15" s="337">
        <f>IF((-C8+C19)&gt;0,(-C8+C19),0)</f>
        <v>8961842.60933947</v>
      </c>
      <c r="R15" s="339">
        <f>IF((-C8+C19)&lt;0,(-C8+C19),0)</f>
        <v>0</v>
      </c>
    </row>
    <row r="16" spans="1:18" s="386" customFormat="1">
      <c r="A16" s="58"/>
      <c r="B16" s="59" t="s">
        <v>49</v>
      </c>
      <c r="C16" s="50">
        <f>SUM(D16:L16)</f>
        <v>0</v>
      </c>
      <c r="D16" s="161"/>
      <c r="E16" s="161"/>
      <c r="F16" s="161"/>
      <c r="G16" s="161"/>
      <c r="H16" s="161"/>
      <c r="I16" s="161"/>
      <c r="J16" s="161"/>
      <c r="K16" s="161"/>
      <c r="L16" s="245">
        <v>0</v>
      </c>
      <c r="M16" s="134"/>
      <c r="N16" s="50"/>
      <c r="O16" s="342" t="s">
        <v>80</v>
      </c>
      <c r="P16" s="341" t="s">
        <v>20</v>
      </c>
      <c r="Q16" s="112">
        <f>IF((C13+C14)&lt;0,(-C13-C14),0)</f>
        <v>0</v>
      </c>
      <c r="R16" s="339">
        <f>IF((C13+C14)&gt;0,(-C13-C14),0)</f>
        <v>-1615352.97</v>
      </c>
    </row>
    <row r="17" spans="1:18" s="386" customFormat="1">
      <c r="A17" s="58"/>
      <c r="B17" s="59" t="s">
        <v>144</v>
      </c>
      <c r="C17" s="50">
        <f>SUM(D17:L17)</f>
        <v>0</v>
      </c>
      <c r="D17" s="161"/>
      <c r="E17" s="161"/>
      <c r="F17" s="161"/>
      <c r="G17" s="161"/>
      <c r="H17" s="161"/>
      <c r="I17" s="161"/>
      <c r="J17" s="161"/>
      <c r="K17" s="161"/>
      <c r="L17" s="245">
        <v>0</v>
      </c>
      <c r="M17" s="134"/>
      <c r="N17" s="50"/>
      <c r="O17" s="344" t="s">
        <v>82</v>
      </c>
      <c r="P17" s="341" t="s">
        <v>75</v>
      </c>
      <c r="Q17" s="346">
        <v>0</v>
      </c>
      <c r="R17" s="339">
        <f>IF(C18&gt;0,-C18,0)</f>
        <v>-5665.63</v>
      </c>
    </row>
    <row r="18" spans="1:18" s="386" customFormat="1" ht="16" thickBot="1">
      <c r="A18" s="61"/>
      <c r="B18" s="59" t="s">
        <v>12</v>
      </c>
      <c r="C18" s="50">
        <f>SUM(D18:L18)</f>
        <v>5665.63</v>
      </c>
      <c r="D18" s="161"/>
      <c r="E18" s="161"/>
      <c r="F18" s="161">
        <v>5665.63</v>
      </c>
      <c r="G18" s="161"/>
      <c r="H18" s="161"/>
      <c r="I18" s="161"/>
      <c r="J18" s="161"/>
      <c r="K18" s="161"/>
      <c r="L18" s="247"/>
      <c r="M18" s="238">
        <v>3.2500000000000001E-2</v>
      </c>
      <c r="N18" s="50"/>
      <c r="O18" s="345" t="s">
        <v>83</v>
      </c>
      <c r="P18" s="343" t="s">
        <v>76</v>
      </c>
      <c r="Q18" s="116">
        <f>IF(-C18&gt;0,-C18,0)</f>
        <v>0</v>
      </c>
      <c r="R18" s="116">
        <f>IF(C18&gt;0,0,0)</f>
        <v>0</v>
      </c>
    </row>
    <row r="19" spans="1:18" s="386" customFormat="1" ht="16" thickBot="1">
      <c r="A19" s="103">
        <f>A13</f>
        <v>41243</v>
      </c>
      <c r="B19" s="50" t="s">
        <v>56</v>
      </c>
      <c r="C19" s="158">
        <f>SUM(C11:C18)</f>
        <v>2905266.8439077931</v>
      </c>
      <c r="D19" s="158">
        <f>SUM(D11:D18)</f>
        <v>-902403.19623620855</v>
      </c>
      <c r="E19" s="158">
        <f>SUM(E11:E18)</f>
        <v>3873024.4701439994</v>
      </c>
      <c r="F19" s="158">
        <f>SUM(F11:F18)</f>
        <v>-65354.430000000015</v>
      </c>
      <c r="G19" s="158">
        <f>SUM(G8:G18)</f>
        <v>0</v>
      </c>
      <c r="H19" s="158">
        <f>SUM(H8:H18)</f>
        <v>0</v>
      </c>
      <c r="I19" s="158">
        <f>SUM(I8:I18)</f>
        <v>0</v>
      </c>
      <c r="J19" s="158">
        <f>SUM(J8:J18)</f>
        <v>0</v>
      </c>
      <c r="K19" s="158">
        <f>SUM(K8:K18)</f>
        <v>0</v>
      </c>
      <c r="L19" s="158">
        <f>SUM(L11:L18)</f>
        <v>0</v>
      </c>
      <c r="M19" s="57"/>
      <c r="N19" s="387"/>
      <c r="O19" s="387"/>
      <c r="P19" s="387"/>
      <c r="Q19" s="387"/>
      <c r="R19" s="340">
        <f>ROUND(SUM(Q14:R18),2)</f>
        <v>0</v>
      </c>
    </row>
    <row r="20" spans="1:18" ht="16.5" thickTop="1" thickBot="1"/>
    <row r="21" spans="1:18" s="386" customFormat="1" ht="16" thickBot="1">
      <c r="A21" s="58">
        <v>41274</v>
      </c>
      <c r="B21" s="59" t="s">
        <v>84</v>
      </c>
      <c r="C21" s="50">
        <f>SUM(D21:L21)</f>
        <v>338391.8734309976</v>
      </c>
      <c r="D21" s="246">
        <v>1143938.5575779974</v>
      </c>
      <c r="E21" s="246">
        <v>-805546.68414699985</v>
      </c>
      <c r="F21" s="161">
        <v>0</v>
      </c>
      <c r="G21" s="161"/>
      <c r="H21" s="161"/>
      <c r="I21" s="161"/>
      <c r="J21" s="390"/>
      <c r="K21" s="161"/>
      <c r="L21" s="161">
        <v>0</v>
      </c>
      <c r="M21" s="133"/>
      <c r="N21" s="50"/>
      <c r="O21" s="338" t="s">
        <v>106</v>
      </c>
      <c r="P21" s="93"/>
      <c r="Q21" s="93"/>
      <c r="R21" s="94"/>
    </row>
    <row r="22" spans="1:18" s="386" customFormat="1">
      <c r="A22" s="58"/>
      <c r="B22" s="59" t="s">
        <v>148</v>
      </c>
      <c r="C22" s="50">
        <f>SUM(D22:F22)</f>
        <v>0</v>
      </c>
      <c r="D22" s="243"/>
      <c r="E22" s="243">
        <v>0</v>
      </c>
      <c r="F22" s="161"/>
      <c r="G22" s="161"/>
      <c r="H22" s="161"/>
      <c r="I22" s="161"/>
      <c r="J22" s="161"/>
      <c r="K22" s="161"/>
      <c r="L22" s="161"/>
      <c r="M22" s="133"/>
      <c r="N22" s="50"/>
      <c r="O22" s="349" t="s">
        <v>213</v>
      </c>
      <c r="P22" s="341" t="s">
        <v>27</v>
      </c>
      <c r="Q22" s="337">
        <v>0</v>
      </c>
      <c r="R22" s="339">
        <v>0</v>
      </c>
    </row>
    <row r="23" spans="1:18" s="386" customFormat="1">
      <c r="A23" s="58"/>
      <c r="B23" s="20" t="s">
        <v>157</v>
      </c>
      <c r="C23" s="50">
        <f>SUM(D23:L23)</f>
        <v>0</v>
      </c>
      <c r="D23" s="244">
        <v>0</v>
      </c>
      <c r="E23" s="243"/>
      <c r="F23" s="161"/>
      <c r="G23" s="161"/>
      <c r="H23" s="161"/>
      <c r="I23" s="161"/>
      <c r="J23" s="161"/>
      <c r="K23" s="161"/>
      <c r="L23" s="161"/>
      <c r="M23" s="133"/>
      <c r="N23" s="50"/>
      <c r="O23" s="336" t="s">
        <v>79</v>
      </c>
      <c r="P23" s="341" t="s">
        <v>17</v>
      </c>
      <c r="Q23" s="337">
        <f>IF((-C19+C27)&gt;0,(-C19+C27),0)</f>
        <v>346718.54343099752</v>
      </c>
      <c r="R23" s="339">
        <f>IF((-C16+C27)&lt;0,(-C16+C27),0)</f>
        <v>0</v>
      </c>
    </row>
    <row r="24" spans="1:18" s="386" customFormat="1">
      <c r="A24" s="58"/>
      <c r="B24" s="59" t="s">
        <v>49</v>
      </c>
      <c r="C24" s="50">
        <f>SUM(D24:L24)</f>
        <v>0</v>
      </c>
      <c r="D24" s="161"/>
      <c r="E24" s="161"/>
      <c r="F24" s="161"/>
      <c r="G24" s="161"/>
      <c r="H24" s="161"/>
      <c r="I24" s="161"/>
      <c r="J24" s="161"/>
      <c r="K24" s="161"/>
      <c r="L24" s="245">
        <v>0</v>
      </c>
      <c r="M24" s="134"/>
      <c r="N24" s="50"/>
      <c r="O24" s="342" t="s">
        <v>80</v>
      </c>
      <c r="P24" s="341" t="s">
        <v>20</v>
      </c>
      <c r="Q24" s="112">
        <f>IF((C21+C22)&lt;0,(-C21-C22),0)</f>
        <v>0</v>
      </c>
      <c r="R24" s="339">
        <f>IF((C21+C22)&gt;0,(-C21-C22),0)</f>
        <v>-338391.8734309976</v>
      </c>
    </row>
    <row r="25" spans="1:18" s="386" customFormat="1">
      <c r="A25" s="58"/>
      <c r="B25" s="59" t="s">
        <v>144</v>
      </c>
      <c r="C25" s="50">
        <f>SUM(D25:L25)</f>
        <v>0</v>
      </c>
      <c r="D25" s="161"/>
      <c r="E25" s="161"/>
      <c r="F25" s="161"/>
      <c r="G25" s="161"/>
      <c r="H25" s="161"/>
      <c r="I25" s="161"/>
      <c r="J25" s="161"/>
      <c r="K25" s="161"/>
      <c r="L25" s="245">
        <v>0</v>
      </c>
      <c r="M25" s="134"/>
      <c r="N25" s="50"/>
      <c r="O25" s="344" t="s">
        <v>82</v>
      </c>
      <c r="P25" s="341" t="s">
        <v>75</v>
      </c>
      <c r="Q25" s="346">
        <v>0</v>
      </c>
      <c r="R25" s="339">
        <f>IF(C26&gt;0,-C26,0)</f>
        <v>-8326.67</v>
      </c>
    </row>
    <row r="26" spans="1:18" s="386" customFormat="1" ht="16" thickBot="1">
      <c r="A26" s="61"/>
      <c r="B26" s="59" t="s">
        <v>12</v>
      </c>
      <c r="C26" s="50">
        <f>SUM(D26:L26)</f>
        <v>8326.67</v>
      </c>
      <c r="D26" s="161"/>
      <c r="E26" s="161"/>
      <c r="F26" s="161">
        <v>8326.67</v>
      </c>
      <c r="G26" s="161"/>
      <c r="H26" s="161"/>
      <c r="I26" s="161"/>
      <c r="J26" s="161"/>
      <c r="K26" s="161"/>
      <c r="L26" s="247"/>
      <c r="M26" s="238">
        <v>3.2500000000000001E-2</v>
      </c>
      <c r="N26" s="50"/>
      <c r="O26" s="345" t="s">
        <v>83</v>
      </c>
      <c r="P26" s="343" t="s">
        <v>76</v>
      </c>
      <c r="Q26" s="116">
        <f>IF(-C26&gt;0,-C26,0)</f>
        <v>0</v>
      </c>
      <c r="R26" s="116">
        <f>IF(C26&gt;0,0,0)</f>
        <v>0</v>
      </c>
    </row>
    <row r="27" spans="1:18" s="386" customFormat="1" ht="16" thickBot="1">
      <c r="A27" s="103">
        <f>A21</f>
        <v>41274</v>
      </c>
      <c r="B27" s="50" t="s">
        <v>56</v>
      </c>
      <c r="C27" s="158">
        <f>SUM(C19:C26)</f>
        <v>3251985.3873387906</v>
      </c>
      <c r="D27" s="158">
        <f>SUM(D19:D26)</f>
        <v>241535.3613417889</v>
      </c>
      <c r="E27" s="158">
        <f>SUM(E19:E26)</f>
        <v>3067477.7859969996</v>
      </c>
      <c r="F27" s="158">
        <f>SUM(F19:F26)</f>
        <v>-57027.760000000017</v>
      </c>
      <c r="G27" s="158">
        <f t="shared" ref="G27:K27" si="0">SUM(G16:G26)</f>
        <v>0</v>
      </c>
      <c r="H27" s="158">
        <f t="shared" si="0"/>
        <v>0</v>
      </c>
      <c r="I27" s="158">
        <f t="shared" si="0"/>
        <v>0</v>
      </c>
      <c r="J27" s="158">
        <f t="shared" si="0"/>
        <v>0</v>
      </c>
      <c r="K27" s="158">
        <f t="shared" si="0"/>
        <v>0</v>
      </c>
      <c r="L27" s="158">
        <f>SUM(L19:L26)</f>
        <v>0</v>
      </c>
      <c r="M27" s="57"/>
      <c r="N27" s="387"/>
      <c r="O27" s="387"/>
      <c r="P27" s="387"/>
      <c r="Q27" s="387"/>
      <c r="R27" s="340">
        <f>ROUND(SUM(Q22:R26),2)</f>
        <v>0</v>
      </c>
    </row>
    <row r="28" spans="1:18" s="386" customFormat="1" ht="16.5" thickTop="1" thickBot="1">
      <c r="A28" s="53"/>
      <c r="M28" s="52"/>
    </row>
    <row r="29" spans="1:18" s="386" customFormat="1" ht="16" thickBot="1">
      <c r="A29" s="58">
        <v>41305</v>
      </c>
      <c r="B29" s="59" t="s">
        <v>84</v>
      </c>
      <c r="C29" s="50">
        <f>SUM(D29:L29)</f>
        <v>-3227933.8735419996</v>
      </c>
      <c r="D29" s="246">
        <v>-1853906.027032</v>
      </c>
      <c r="E29" s="246">
        <v>-1374027.8465099994</v>
      </c>
      <c r="F29" s="161">
        <v>0</v>
      </c>
      <c r="G29" s="161"/>
      <c r="H29" s="161"/>
      <c r="I29" s="161"/>
      <c r="J29" s="390"/>
      <c r="K29" s="161"/>
      <c r="L29" s="161">
        <v>0</v>
      </c>
      <c r="M29" s="133"/>
      <c r="N29" s="50"/>
      <c r="O29" s="338" t="s">
        <v>106</v>
      </c>
      <c r="P29" s="93"/>
      <c r="Q29" s="93"/>
      <c r="R29" s="94"/>
    </row>
    <row r="30" spans="1:18" s="386" customFormat="1">
      <c r="A30" s="58"/>
      <c r="B30" s="59" t="s">
        <v>148</v>
      </c>
      <c r="C30" s="50">
        <f>SUM(D30:F30)</f>
        <v>0</v>
      </c>
      <c r="D30" s="243"/>
      <c r="E30" s="243">
        <v>0</v>
      </c>
      <c r="F30" s="161"/>
      <c r="G30" s="161"/>
      <c r="H30" s="161"/>
      <c r="I30" s="161"/>
      <c r="J30" s="161"/>
      <c r="K30" s="161"/>
      <c r="L30" s="161"/>
      <c r="M30" s="133"/>
      <c r="N30" s="50"/>
      <c r="O30" s="349" t="s">
        <v>213</v>
      </c>
      <c r="P30" s="341" t="s">
        <v>27</v>
      </c>
      <c r="Q30" s="337">
        <v>0</v>
      </c>
      <c r="R30" s="339">
        <v>0</v>
      </c>
    </row>
    <row r="31" spans="1:18" s="386" customFormat="1">
      <c r="A31" s="58"/>
      <c r="B31" s="20" t="s">
        <v>157</v>
      </c>
      <c r="C31" s="50">
        <f>SUM(D31:L31)</f>
        <v>0</v>
      </c>
      <c r="D31" s="244">
        <v>0</v>
      </c>
      <c r="E31" s="243"/>
      <c r="F31" s="161"/>
      <c r="G31" s="161"/>
      <c r="H31" s="161"/>
      <c r="I31" s="161"/>
      <c r="J31" s="161"/>
      <c r="K31" s="161"/>
      <c r="L31" s="161"/>
      <c r="M31" s="133"/>
      <c r="N31" s="50"/>
      <c r="O31" s="336" t="s">
        <v>79</v>
      </c>
      <c r="P31" s="341" t="s">
        <v>17</v>
      </c>
      <c r="Q31" s="337">
        <f>IF((-C27+C35)&gt;0,(-C27+C35),0)</f>
        <v>0</v>
      </c>
      <c r="R31" s="339">
        <f>IF((-C27+C35)&lt;0,(-C27+C35),0)</f>
        <v>-3223497.5735419998</v>
      </c>
    </row>
    <row r="32" spans="1:18" s="386" customFormat="1">
      <c r="A32" s="58"/>
      <c r="B32" s="59" t="s">
        <v>49</v>
      </c>
      <c r="C32" s="50">
        <f>SUM(D32:L32)</f>
        <v>0</v>
      </c>
      <c r="D32" s="161"/>
      <c r="E32" s="161"/>
      <c r="F32" s="161"/>
      <c r="G32" s="161"/>
      <c r="H32" s="161"/>
      <c r="I32" s="161"/>
      <c r="J32" s="161"/>
      <c r="K32" s="161"/>
      <c r="L32" s="245">
        <v>0</v>
      </c>
      <c r="M32" s="134"/>
      <c r="N32" s="50"/>
      <c r="O32" s="342" t="s">
        <v>80</v>
      </c>
      <c r="P32" s="341" t="s">
        <v>20</v>
      </c>
      <c r="Q32" s="112">
        <f>IF((C29+C30)&lt;0,(-C29-C30),0)</f>
        <v>3227933.8735419996</v>
      </c>
      <c r="R32" s="339">
        <f>IF((C29+C30)&gt;0,(-C29-C30),0)</f>
        <v>0</v>
      </c>
    </row>
    <row r="33" spans="1:18" s="386" customFormat="1">
      <c r="A33" s="58"/>
      <c r="B33" s="59" t="s">
        <v>144</v>
      </c>
      <c r="C33" s="50">
        <f>SUM(D33:L33)</f>
        <v>0</v>
      </c>
      <c r="D33" s="161"/>
      <c r="E33" s="161"/>
      <c r="F33" s="161"/>
      <c r="G33" s="161"/>
      <c r="H33" s="161"/>
      <c r="I33" s="161"/>
      <c r="J33" s="161"/>
      <c r="K33" s="161"/>
      <c r="L33" s="245">
        <v>0</v>
      </c>
      <c r="M33" s="134"/>
      <c r="N33" s="50"/>
      <c r="O33" s="344" t="s">
        <v>82</v>
      </c>
      <c r="P33" s="341" t="s">
        <v>75</v>
      </c>
      <c r="Q33" s="346">
        <v>0</v>
      </c>
      <c r="R33" s="339">
        <f>IF(C34&gt;0,-C34,0)</f>
        <v>-4436.3</v>
      </c>
    </row>
    <row r="34" spans="1:18" s="386" customFormat="1" ht="16" thickBot="1">
      <c r="A34" s="61"/>
      <c r="B34" s="59" t="s">
        <v>12</v>
      </c>
      <c r="C34" s="50">
        <f>SUM(D34:L34)</f>
        <v>4436.3</v>
      </c>
      <c r="D34" s="161"/>
      <c r="E34" s="161"/>
      <c r="F34" s="161">
        <v>4436.3</v>
      </c>
      <c r="G34" s="161"/>
      <c r="H34" s="161"/>
      <c r="I34" s="161"/>
      <c r="J34" s="161"/>
      <c r="K34" s="161"/>
      <c r="L34" s="247"/>
      <c r="M34" s="238">
        <v>3.2500000000000001E-2</v>
      </c>
      <c r="N34" s="50"/>
      <c r="O34" s="345" t="s">
        <v>83</v>
      </c>
      <c r="P34" s="343" t="s">
        <v>76</v>
      </c>
      <c r="Q34" s="116">
        <f>IF(-C34&gt;0,-C34,0)</f>
        <v>0</v>
      </c>
      <c r="R34" s="116">
        <f>IF(C34&gt;0,0,0)</f>
        <v>0</v>
      </c>
    </row>
    <row r="35" spans="1:18" s="386" customFormat="1" ht="16" thickBot="1">
      <c r="A35" s="103">
        <f>A29</f>
        <v>41305</v>
      </c>
      <c r="B35" s="50" t="s">
        <v>56</v>
      </c>
      <c r="C35" s="158">
        <f>SUM(C27:C34)</f>
        <v>28487.813796790968</v>
      </c>
      <c r="D35" s="158">
        <f>SUM(D27:D34)</f>
        <v>-1612370.6656902111</v>
      </c>
      <c r="E35" s="158">
        <f>SUM(E27:E34)</f>
        <v>1693449.9394870002</v>
      </c>
      <c r="F35" s="158">
        <f>SUM(F27:F34)</f>
        <v>-52591.460000000014</v>
      </c>
      <c r="G35" s="158">
        <f t="shared" ref="G35:K35" si="1">SUM(G24:G34)</f>
        <v>0</v>
      </c>
      <c r="H35" s="158">
        <f t="shared" si="1"/>
        <v>0</v>
      </c>
      <c r="I35" s="158">
        <f t="shared" si="1"/>
        <v>0</v>
      </c>
      <c r="J35" s="158">
        <f t="shared" si="1"/>
        <v>0</v>
      </c>
      <c r="K35" s="158">
        <f t="shared" si="1"/>
        <v>0</v>
      </c>
      <c r="L35" s="158">
        <f>SUM(L27:L34)</f>
        <v>0</v>
      </c>
      <c r="M35" s="57"/>
      <c r="N35" s="387"/>
      <c r="O35" s="387"/>
      <c r="P35" s="387"/>
      <c r="Q35" s="387"/>
      <c r="R35" s="340">
        <f>ROUND(SUM(Q30:R34),2)</f>
        <v>0</v>
      </c>
    </row>
    <row r="36" spans="1:18" s="386" customFormat="1" ht="16.5" thickTop="1" thickBot="1">
      <c r="A36" s="53"/>
      <c r="M36" s="52"/>
    </row>
    <row r="37" spans="1:18" s="386" customFormat="1" ht="16" thickBot="1">
      <c r="A37" s="58">
        <v>41333</v>
      </c>
      <c r="B37" s="59" t="s">
        <v>84</v>
      </c>
      <c r="C37" s="50">
        <f>SUM(D37:L37)</f>
        <v>227268.08091399889</v>
      </c>
      <c r="D37" s="246">
        <v>964027.88181999885</v>
      </c>
      <c r="E37" s="246">
        <v>-736759.80090599996</v>
      </c>
      <c r="F37" s="161">
        <v>0</v>
      </c>
      <c r="G37" s="161"/>
      <c r="H37" s="161"/>
      <c r="I37" s="161"/>
      <c r="J37" s="390"/>
      <c r="K37" s="161"/>
      <c r="L37" s="161">
        <v>0</v>
      </c>
      <c r="M37" s="133"/>
      <c r="N37" s="50"/>
      <c r="O37" s="338" t="s">
        <v>106</v>
      </c>
      <c r="P37" s="93"/>
      <c r="Q37" s="93"/>
      <c r="R37" s="94"/>
    </row>
    <row r="38" spans="1:18" s="386" customFormat="1">
      <c r="A38" s="58"/>
      <c r="B38" s="59" t="s">
        <v>148</v>
      </c>
      <c r="C38" s="50">
        <f>SUM(D38:F38)</f>
        <v>0</v>
      </c>
      <c r="D38" s="243"/>
      <c r="E38" s="243">
        <v>0</v>
      </c>
      <c r="F38" s="161"/>
      <c r="G38" s="161"/>
      <c r="H38" s="161"/>
      <c r="I38" s="161"/>
      <c r="J38" s="161"/>
      <c r="K38" s="161"/>
      <c r="L38" s="161"/>
      <c r="M38" s="133"/>
      <c r="N38" s="50"/>
      <c r="O38" s="349" t="s">
        <v>213</v>
      </c>
      <c r="P38" s="341" t="s">
        <v>27</v>
      </c>
      <c r="Q38" s="337">
        <v>0</v>
      </c>
      <c r="R38" s="339">
        <v>0</v>
      </c>
    </row>
    <row r="39" spans="1:18" s="386" customFormat="1">
      <c r="A39" s="58"/>
      <c r="B39" s="20" t="s">
        <v>157</v>
      </c>
      <c r="C39" s="50">
        <f>SUM(D39:L39)</f>
        <v>0</v>
      </c>
      <c r="D39" s="244">
        <v>0</v>
      </c>
      <c r="E39" s="243"/>
      <c r="F39" s="161"/>
      <c r="G39" s="161"/>
      <c r="H39" s="161"/>
      <c r="I39" s="161"/>
      <c r="J39" s="161"/>
      <c r="K39" s="161"/>
      <c r="L39" s="161"/>
      <c r="M39" s="133"/>
      <c r="N39" s="50"/>
      <c r="O39" s="336" t="s">
        <v>79</v>
      </c>
      <c r="P39" s="341" t="s">
        <v>17</v>
      </c>
      <c r="Q39" s="337">
        <f>IF((-C35+C43)&gt;0,(-C35+C43),0)</f>
        <v>227652.99091399889</v>
      </c>
      <c r="R39" s="339">
        <f>IF((-C35+C43)&lt;0,(-C35+C43),0)</f>
        <v>0</v>
      </c>
    </row>
    <row r="40" spans="1:18" s="386" customFormat="1">
      <c r="A40" s="58"/>
      <c r="B40" s="59" t="s">
        <v>49</v>
      </c>
      <c r="C40" s="50">
        <f>SUM(D40:L40)</f>
        <v>0</v>
      </c>
      <c r="D40" s="161"/>
      <c r="E40" s="161"/>
      <c r="F40" s="161"/>
      <c r="G40" s="161"/>
      <c r="H40" s="161"/>
      <c r="I40" s="161"/>
      <c r="J40" s="161"/>
      <c r="K40" s="161"/>
      <c r="L40" s="245">
        <v>0</v>
      </c>
      <c r="M40" s="134"/>
      <c r="N40" s="50"/>
      <c r="O40" s="342" t="s">
        <v>80</v>
      </c>
      <c r="P40" s="341" t="s">
        <v>20</v>
      </c>
      <c r="Q40" s="112">
        <f>IF((C37+C38)&lt;0,(-C37-C38),0)</f>
        <v>0</v>
      </c>
      <c r="R40" s="339">
        <f>IF((C37+C38)&gt;0,(-C37-C38),0)</f>
        <v>-227268.08091399889</v>
      </c>
    </row>
    <row r="41" spans="1:18" s="386" customFormat="1">
      <c r="A41" s="58"/>
      <c r="B41" s="59" t="s">
        <v>144</v>
      </c>
      <c r="C41" s="50">
        <f>SUM(D41:L41)</f>
        <v>0</v>
      </c>
      <c r="D41" s="161"/>
      <c r="E41" s="161"/>
      <c r="F41" s="161"/>
      <c r="G41" s="161"/>
      <c r="H41" s="161"/>
      <c r="I41" s="161"/>
      <c r="J41" s="161"/>
      <c r="K41" s="161"/>
      <c r="L41" s="245">
        <v>0</v>
      </c>
      <c r="M41" s="134"/>
      <c r="N41" s="50"/>
      <c r="O41" s="344" t="s">
        <v>82</v>
      </c>
      <c r="P41" s="341" t="s">
        <v>75</v>
      </c>
      <c r="Q41" s="346">
        <v>0</v>
      </c>
      <c r="R41" s="339">
        <f>IF(C42&gt;0,-C42,0)</f>
        <v>-384.91</v>
      </c>
    </row>
    <row r="42" spans="1:18" s="386" customFormat="1" ht="16" thickBot="1">
      <c r="A42" s="61"/>
      <c r="B42" s="59" t="s">
        <v>12</v>
      </c>
      <c r="C42" s="50">
        <f>SUM(D42:L42)</f>
        <v>384.91</v>
      </c>
      <c r="D42" s="161"/>
      <c r="E42" s="161"/>
      <c r="F42" s="161">
        <v>384.91</v>
      </c>
      <c r="G42" s="161"/>
      <c r="H42" s="161"/>
      <c r="I42" s="161"/>
      <c r="J42" s="161"/>
      <c r="K42" s="161"/>
      <c r="L42" s="247"/>
      <c r="M42" s="238">
        <v>3.2500000000000001E-2</v>
      </c>
      <c r="N42" s="50"/>
      <c r="O42" s="345" t="s">
        <v>83</v>
      </c>
      <c r="P42" s="343" t="s">
        <v>76</v>
      </c>
      <c r="Q42" s="116">
        <f>IF(-C42&gt;0,-C42,0)</f>
        <v>0</v>
      </c>
      <c r="R42" s="116">
        <f>IF(C42&gt;0,0,0)</f>
        <v>0</v>
      </c>
    </row>
    <row r="43" spans="1:18" s="386" customFormat="1" ht="16" thickBot="1">
      <c r="A43" s="103">
        <f>A37</f>
        <v>41333</v>
      </c>
      <c r="B43" s="50" t="s">
        <v>56</v>
      </c>
      <c r="C43" s="158">
        <f>SUM(C35:C42)</f>
        <v>256140.80471078985</v>
      </c>
      <c r="D43" s="158">
        <f>SUM(D35:D42)</f>
        <v>-648342.78387021227</v>
      </c>
      <c r="E43" s="158">
        <f>SUM(E35:E42)</f>
        <v>956690.13858100027</v>
      </c>
      <c r="F43" s="158">
        <f>SUM(F35:F42)</f>
        <v>-52206.55000000001</v>
      </c>
      <c r="G43" s="158">
        <f t="shared" ref="G43:K43" si="2">SUM(G32:G42)</f>
        <v>0</v>
      </c>
      <c r="H43" s="158">
        <f t="shared" si="2"/>
        <v>0</v>
      </c>
      <c r="I43" s="158">
        <f t="shared" si="2"/>
        <v>0</v>
      </c>
      <c r="J43" s="158">
        <f t="shared" si="2"/>
        <v>0</v>
      </c>
      <c r="K43" s="158">
        <f t="shared" si="2"/>
        <v>0</v>
      </c>
      <c r="L43" s="158">
        <f>SUM(L35:L42)</f>
        <v>0</v>
      </c>
      <c r="M43" s="57"/>
      <c r="N43" s="387"/>
      <c r="O43" s="387"/>
      <c r="P43" s="387"/>
      <c r="Q43" s="387"/>
      <c r="R43" s="340">
        <f>ROUND(SUM(Q38:R42),2)</f>
        <v>0</v>
      </c>
    </row>
    <row r="44" spans="1:18" s="386" customFormat="1" ht="16.5" thickTop="1" thickBot="1">
      <c r="A44" s="53"/>
      <c r="M44" s="52"/>
    </row>
    <row r="45" spans="1:18" s="386" customFormat="1" ht="16" thickBot="1">
      <c r="A45" s="58">
        <v>41364</v>
      </c>
      <c r="B45" s="59" t="s">
        <v>84</v>
      </c>
      <c r="C45" s="50">
        <f>SUM(D45:L45)</f>
        <v>-83754.106502999784</v>
      </c>
      <c r="D45" s="246">
        <v>311623.77906699944</v>
      </c>
      <c r="E45" s="246">
        <v>-395377.88556999923</v>
      </c>
      <c r="F45" s="161">
        <v>0</v>
      </c>
      <c r="G45" s="161"/>
      <c r="H45" s="161"/>
      <c r="I45" s="161"/>
      <c r="J45" s="390"/>
      <c r="K45" s="161"/>
      <c r="L45" s="161">
        <v>0</v>
      </c>
      <c r="M45" s="133"/>
      <c r="N45" s="50"/>
      <c r="O45" s="338" t="s">
        <v>106</v>
      </c>
      <c r="P45" s="93"/>
      <c r="Q45" s="93"/>
      <c r="R45" s="94"/>
    </row>
    <row r="46" spans="1:18" s="386" customFormat="1">
      <c r="A46" s="58"/>
      <c r="B46" s="59" t="s">
        <v>148</v>
      </c>
      <c r="C46" s="50">
        <f>SUM(D46:F46)</f>
        <v>0</v>
      </c>
      <c r="D46" s="243"/>
      <c r="E46" s="243">
        <v>0</v>
      </c>
      <c r="F46" s="161"/>
      <c r="G46" s="161"/>
      <c r="H46" s="161"/>
      <c r="I46" s="161"/>
      <c r="J46" s="161"/>
      <c r="K46" s="161"/>
      <c r="L46" s="161"/>
      <c r="M46" s="133"/>
      <c r="N46" s="50"/>
      <c r="O46" s="349" t="s">
        <v>213</v>
      </c>
      <c r="P46" s="341" t="s">
        <v>27</v>
      </c>
      <c r="Q46" s="337">
        <v>0</v>
      </c>
      <c r="R46" s="339">
        <v>0</v>
      </c>
    </row>
    <row r="47" spans="1:18" s="386" customFormat="1">
      <c r="A47" s="58"/>
      <c r="B47" s="20" t="s">
        <v>157</v>
      </c>
      <c r="C47" s="50">
        <f>SUM(D47:L47)</f>
        <v>0</v>
      </c>
      <c r="D47" s="244">
        <v>0</v>
      </c>
      <c r="E47" s="243"/>
      <c r="F47" s="161"/>
      <c r="G47" s="161"/>
      <c r="H47" s="161"/>
      <c r="I47" s="161"/>
      <c r="J47" s="161"/>
      <c r="K47" s="161"/>
      <c r="L47" s="161"/>
      <c r="M47" s="133"/>
      <c r="N47" s="50"/>
      <c r="O47" s="336" t="s">
        <v>79</v>
      </c>
      <c r="P47" s="341" t="s">
        <v>17</v>
      </c>
      <c r="Q47" s="337">
        <f>IF((-C43+C51)&gt;0,(-C43+C51),0)</f>
        <v>0</v>
      </c>
      <c r="R47" s="339">
        <f>IF((-C43+C51)&lt;0,(-C43+C51),0)</f>
        <v>-83173.806502999796</v>
      </c>
    </row>
    <row r="48" spans="1:18" s="386" customFormat="1">
      <c r="A48" s="58"/>
      <c r="B48" s="59" t="s">
        <v>49</v>
      </c>
      <c r="C48" s="50">
        <f>SUM(D48:L48)</f>
        <v>0</v>
      </c>
      <c r="D48" s="161"/>
      <c r="E48" s="161"/>
      <c r="F48" s="161"/>
      <c r="G48" s="161"/>
      <c r="H48" s="161"/>
      <c r="I48" s="161"/>
      <c r="J48" s="161"/>
      <c r="K48" s="161"/>
      <c r="L48" s="245">
        <v>0</v>
      </c>
      <c r="M48" s="134"/>
      <c r="N48" s="50"/>
      <c r="O48" s="342" t="s">
        <v>80</v>
      </c>
      <c r="P48" s="341" t="s">
        <v>20</v>
      </c>
      <c r="Q48" s="112">
        <f>IF((C45+C46)&lt;0,(-C45-C46),0)</f>
        <v>83754.106502999784</v>
      </c>
      <c r="R48" s="339">
        <f>IF((C45+C46)&gt;0,(-C45-C46),0)</f>
        <v>0</v>
      </c>
    </row>
    <row r="49" spans="1:18" s="386" customFormat="1">
      <c r="A49" s="58"/>
      <c r="B49" s="59" t="s">
        <v>144</v>
      </c>
      <c r="C49" s="50">
        <f>SUM(D49:L49)</f>
        <v>0</v>
      </c>
      <c r="D49" s="161"/>
      <c r="E49" s="161"/>
      <c r="F49" s="161"/>
      <c r="G49" s="161"/>
      <c r="H49" s="161"/>
      <c r="I49" s="161"/>
      <c r="J49" s="161"/>
      <c r="K49" s="161"/>
      <c r="L49" s="245">
        <v>0</v>
      </c>
      <c r="M49" s="134"/>
      <c r="N49" s="50"/>
      <c r="O49" s="344" t="s">
        <v>82</v>
      </c>
      <c r="P49" s="341" t="s">
        <v>75</v>
      </c>
      <c r="Q49" s="346">
        <v>0</v>
      </c>
      <c r="R49" s="339">
        <f>IF(C50&gt;0,-C50,0)</f>
        <v>-580.29999999999995</v>
      </c>
    </row>
    <row r="50" spans="1:18" s="386" customFormat="1" ht="16" thickBot="1">
      <c r="A50" s="61"/>
      <c r="B50" s="59" t="s">
        <v>12</v>
      </c>
      <c r="C50" s="50">
        <f>SUM(D50:L50)</f>
        <v>580.29999999999995</v>
      </c>
      <c r="D50" s="161"/>
      <c r="E50" s="161"/>
      <c r="F50" s="161">
        <v>580.29999999999995</v>
      </c>
      <c r="G50" s="161"/>
      <c r="H50" s="161"/>
      <c r="I50" s="161"/>
      <c r="J50" s="161"/>
      <c r="K50" s="161"/>
      <c r="L50" s="247"/>
      <c r="M50" s="238">
        <v>3.2500000000000001E-2</v>
      </c>
      <c r="N50" s="50"/>
      <c r="O50" s="345" t="s">
        <v>83</v>
      </c>
      <c r="P50" s="343" t="s">
        <v>76</v>
      </c>
      <c r="Q50" s="116">
        <f>IF(-C50&gt;0,-C50,0)</f>
        <v>0</v>
      </c>
      <c r="R50" s="116">
        <f>IF(C50&gt;0,0,0)</f>
        <v>0</v>
      </c>
    </row>
    <row r="51" spans="1:18" s="386" customFormat="1" ht="16" thickBot="1">
      <c r="A51" s="103">
        <f>A45</f>
        <v>41364</v>
      </c>
      <c r="B51" s="50" t="s">
        <v>56</v>
      </c>
      <c r="C51" s="158">
        <f>SUM(C43:C50)</f>
        <v>172966.99820779005</v>
      </c>
      <c r="D51" s="158">
        <f>SUM(D43:D50)</f>
        <v>-336719.00480321283</v>
      </c>
      <c r="E51" s="158">
        <f>SUM(E43:E50)</f>
        <v>561312.25301100104</v>
      </c>
      <c r="F51" s="158">
        <f>SUM(F43:F50)</f>
        <v>-51626.250000000007</v>
      </c>
      <c r="G51" s="158">
        <f t="shared" ref="G51:K51" si="3">SUM(G40:G50)</f>
        <v>0</v>
      </c>
      <c r="H51" s="158">
        <f t="shared" si="3"/>
        <v>0</v>
      </c>
      <c r="I51" s="158">
        <f t="shared" si="3"/>
        <v>0</v>
      </c>
      <c r="J51" s="158">
        <f t="shared" si="3"/>
        <v>0</v>
      </c>
      <c r="K51" s="158">
        <f t="shared" si="3"/>
        <v>0</v>
      </c>
      <c r="L51" s="158">
        <f>SUM(L43:L50)</f>
        <v>0</v>
      </c>
      <c r="M51" s="57"/>
      <c r="N51" s="387"/>
      <c r="O51" s="387"/>
      <c r="P51" s="387"/>
      <c r="Q51" s="387"/>
      <c r="R51" s="340">
        <f>ROUND(SUM(Q46:R50),2)</f>
        <v>0</v>
      </c>
    </row>
    <row r="52" spans="1:18" ht="16.5" thickTop="1" thickBot="1"/>
    <row r="53" spans="1:18" s="386" customFormat="1" ht="16" thickBot="1">
      <c r="A53" s="58">
        <v>41365</v>
      </c>
      <c r="B53" s="59" t="s">
        <v>84</v>
      </c>
      <c r="C53" s="50">
        <f>SUM(D53:L53)</f>
        <v>-160377.30866600084</v>
      </c>
      <c r="D53" s="246">
        <v>-294475.16016600048</v>
      </c>
      <c r="E53" s="246">
        <v>134097.85149999964</v>
      </c>
      <c r="F53" s="161">
        <v>0</v>
      </c>
      <c r="G53" s="161"/>
      <c r="H53" s="161"/>
      <c r="I53" s="161"/>
      <c r="J53" s="390"/>
      <c r="K53" s="161"/>
      <c r="L53" s="161">
        <v>0</v>
      </c>
      <c r="M53" s="133"/>
      <c r="N53" s="50"/>
      <c r="O53" s="338" t="s">
        <v>106</v>
      </c>
      <c r="P53" s="93"/>
      <c r="Q53" s="93"/>
      <c r="R53" s="94"/>
    </row>
    <row r="54" spans="1:18" s="386" customFormat="1">
      <c r="A54" s="58"/>
      <c r="B54" s="59" t="s">
        <v>148</v>
      </c>
      <c r="C54" s="50">
        <f>SUM(D54:F54)</f>
        <v>0</v>
      </c>
      <c r="D54" s="243"/>
      <c r="E54" s="243">
        <v>0</v>
      </c>
      <c r="F54" s="161"/>
      <c r="G54" s="161"/>
      <c r="H54" s="161"/>
      <c r="I54" s="161"/>
      <c r="J54" s="161"/>
      <c r="K54" s="161"/>
      <c r="L54" s="161"/>
      <c r="M54" s="133"/>
      <c r="N54" s="50"/>
      <c r="O54" s="349" t="s">
        <v>213</v>
      </c>
      <c r="P54" s="341" t="s">
        <v>27</v>
      </c>
      <c r="Q54" s="337">
        <v>0</v>
      </c>
      <c r="R54" s="339">
        <v>0</v>
      </c>
    </row>
    <row r="55" spans="1:18" s="386" customFormat="1">
      <c r="A55" s="58"/>
      <c r="B55" s="20" t="s">
        <v>157</v>
      </c>
      <c r="C55" s="50">
        <f>SUM(D55:L55)</f>
        <v>0</v>
      </c>
      <c r="D55" s="244">
        <v>0</v>
      </c>
      <c r="E55" s="243"/>
      <c r="F55" s="161"/>
      <c r="G55" s="161"/>
      <c r="H55" s="161"/>
      <c r="I55" s="161"/>
      <c r="J55" s="161"/>
      <c r="K55" s="161"/>
      <c r="L55" s="161"/>
      <c r="M55" s="133"/>
      <c r="N55" s="50"/>
      <c r="O55" s="336" t="s">
        <v>79</v>
      </c>
      <c r="P55" s="341" t="s">
        <v>17</v>
      </c>
      <c r="Q55" s="337">
        <f>IF((-C51+C59)&gt;0,(-C51+C59),0)</f>
        <v>0</v>
      </c>
      <c r="R55" s="339">
        <f>IF((-C51+C59)&lt;0,(-C51+C59),0)</f>
        <v>-160126.03866600085</v>
      </c>
    </row>
    <row r="56" spans="1:18" s="386" customFormat="1">
      <c r="A56" s="58"/>
      <c r="B56" s="59" t="s">
        <v>49</v>
      </c>
      <c r="C56" s="50">
        <f>SUM(D56:L56)</f>
        <v>0</v>
      </c>
      <c r="D56" s="161"/>
      <c r="E56" s="161"/>
      <c r="F56" s="161"/>
      <c r="G56" s="161"/>
      <c r="H56" s="161"/>
      <c r="I56" s="161"/>
      <c r="J56" s="161"/>
      <c r="K56" s="161"/>
      <c r="L56" s="245">
        <v>0</v>
      </c>
      <c r="M56" s="134"/>
      <c r="N56" s="50"/>
      <c r="O56" s="342" t="s">
        <v>80</v>
      </c>
      <c r="P56" s="341" t="s">
        <v>20</v>
      </c>
      <c r="Q56" s="112">
        <f>IF((C53+C54)&lt;0,(-C53-C54),0)</f>
        <v>160377.30866600084</v>
      </c>
      <c r="R56" s="339">
        <f>IF((C53+C54)&gt;0,(-C53-C54),0)</f>
        <v>0</v>
      </c>
    </row>
    <row r="57" spans="1:18" s="386" customFormat="1">
      <c r="A57" s="58"/>
      <c r="B57" s="59" t="s">
        <v>144</v>
      </c>
      <c r="C57" s="50">
        <f>SUM(D57:L57)</f>
        <v>0</v>
      </c>
      <c r="D57" s="161"/>
      <c r="E57" s="161"/>
      <c r="F57" s="161"/>
      <c r="G57" s="161"/>
      <c r="H57" s="161"/>
      <c r="I57" s="161"/>
      <c r="J57" s="161"/>
      <c r="K57" s="161"/>
      <c r="L57" s="245">
        <v>0</v>
      </c>
      <c r="M57" s="134"/>
      <c r="N57" s="50"/>
      <c r="O57" s="344" t="s">
        <v>82</v>
      </c>
      <c r="P57" s="341" t="s">
        <v>75</v>
      </c>
      <c r="Q57" s="346">
        <v>0</v>
      </c>
      <c r="R57" s="339">
        <f>IF(C58&gt;0,-C58,0)</f>
        <v>-251.27</v>
      </c>
    </row>
    <row r="58" spans="1:18" s="386" customFormat="1" ht="16" thickBot="1">
      <c r="A58" s="61"/>
      <c r="B58" s="59" t="s">
        <v>12</v>
      </c>
      <c r="C58" s="50">
        <f>SUM(D58:L58)</f>
        <v>251.27</v>
      </c>
      <c r="D58" s="161"/>
      <c r="E58" s="161"/>
      <c r="F58" s="161">
        <v>251.27</v>
      </c>
      <c r="G58" s="161"/>
      <c r="H58" s="161"/>
      <c r="I58" s="161"/>
      <c r="J58" s="161"/>
      <c r="K58" s="161"/>
      <c r="L58" s="247"/>
      <c r="M58" s="238">
        <v>3.2500000000000001E-2</v>
      </c>
      <c r="N58" s="50"/>
      <c r="O58" s="345" t="s">
        <v>83</v>
      </c>
      <c r="P58" s="343" t="s">
        <v>76</v>
      </c>
      <c r="Q58" s="116">
        <f>IF(-C58&gt;0,-C58,0)</f>
        <v>0</v>
      </c>
      <c r="R58" s="116">
        <f>IF(C58&gt;0,0,0)</f>
        <v>0</v>
      </c>
    </row>
    <row r="59" spans="1:18" s="386" customFormat="1" ht="16" thickBot="1">
      <c r="A59" s="103">
        <f>A53</f>
        <v>41365</v>
      </c>
      <c r="B59" s="50" t="s">
        <v>56</v>
      </c>
      <c r="C59" s="158">
        <f>SUM(C51:C58)</f>
        <v>12840.959541789209</v>
      </c>
      <c r="D59" s="158">
        <f>SUM(D51:D58)</f>
        <v>-631194.16496921331</v>
      </c>
      <c r="E59" s="158">
        <f>SUM(E51:E58)</f>
        <v>695410.10451100068</v>
      </c>
      <c r="F59" s="158">
        <f>SUM(F51:F58)</f>
        <v>-51374.98000000001</v>
      </c>
      <c r="G59" s="158">
        <f t="shared" ref="G59:K59" si="4">SUM(G48:G58)</f>
        <v>0</v>
      </c>
      <c r="H59" s="158">
        <f t="shared" si="4"/>
        <v>0</v>
      </c>
      <c r="I59" s="158">
        <f t="shared" si="4"/>
        <v>0</v>
      </c>
      <c r="J59" s="158">
        <f t="shared" si="4"/>
        <v>0</v>
      </c>
      <c r="K59" s="158">
        <f t="shared" si="4"/>
        <v>0</v>
      </c>
      <c r="L59" s="158">
        <f>SUM(L51:L58)</f>
        <v>0</v>
      </c>
      <c r="M59" s="57"/>
      <c r="N59" s="387"/>
      <c r="O59" s="387"/>
      <c r="P59" s="387"/>
      <c r="Q59" s="387"/>
      <c r="R59" s="340">
        <f>ROUND(SUM(Q54:R58),2)</f>
        <v>0</v>
      </c>
    </row>
    <row r="60" spans="1:18" s="386" customFormat="1" ht="16.5" thickTop="1" thickBot="1">
      <c r="A60" s="53"/>
      <c r="C60" s="387"/>
      <c r="M60" s="52"/>
    </row>
    <row r="61" spans="1:18" s="386" customFormat="1" ht="16" thickBot="1">
      <c r="A61" s="58">
        <v>41425</v>
      </c>
      <c r="B61" s="59" t="s">
        <v>84</v>
      </c>
      <c r="C61" s="50">
        <f>SUM(D61:L61)</f>
        <v>291085.24359799817</v>
      </c>
      <c r="D61" s="246">
        <v>-577860.59273000155</v>
      </c>
      <c r="E61" s="246">
        <v>868945.83632799971</v>
      </c>
      <c r="F61" s="161">
        <v>0</v>
      </c>
      <c r="G61" s="161"/>
      <c r="H61" s="161"/>
      <c r="I61" s="161"/>
      <c r="J61" s="390"/>
      <c r="K61" s="161"/>
      <c r="L61" s="161">
        <v>0</v>
      </c>
      <c r="M61" s="133"/>
      <c r="N61" s="50"/>
      <c r="O61" s="338" t="s">
        <v>106</v>
      </c>
      <c r="P61" s="93"/>
      <c r="Q61" s="93"/>
      <c r="R61" s="94"/>
    </row>
    <row r="62" spans="1:18" s="386" customFormat="1">
      <c r="A62" s="58"/>
      <c r="B62" s="59" t="s">
        <v>148</v>
      </c>
      <c r="C62" s="50">
        <f>SUM(D62:F62)</f>
        <v>0</v>
      </c>
      <c r="D62" s="243"/>
      <c r="E62" s="243">
        <v>0</v>
      </c>
      <c r="F62" s="161"/>
      <c r="G62" s="161"/>
      <c r="H62" s="161"/>
      <c r="I62" s="161"/>
      <c r="J62" s="161"/>
      <c r="K62" s="161"/>
      <c r="L62" s="161"/>
      <c r="M62" s="133"/>
      <c r="N62" s="50"/>
      <c r="O62" s="349" t="s">
        <v>213</v>
      </c>
      <c r="P62" s="341" t="s">
        <v>27</v>
      </c>
      <c r="Q62" s="337">
        <v>0</v>
      </c>
      <c r="R62" s="339">
        <v>0</v>
      </c>
    </row>
    <row r="63" spans="1:18" s="386" customFormat="1">
      <c r="A63" s="58"/>
      <c r="B63" s="20" t="s">
        <v>157</v>
      </c>
      <c r="C63" s="50">
        <f>SUM(D63:L63)</f>
        <v>0</v>
      </c>
      <c r="D63" s="244">
        <v>0</v>
      </c>
      <c r="E63" s="243"/>
      <c r="F63" s="161"/>
      <c r="G63" s="161"/>
      <c r="H63" s="161"/>
      <c r="I63" s="161"/>
      <c r="J63" s="161"/>
      <c r="K63" s="161"/>
      <c r="L63" s="161"/>
      <c r="M63" s="133"/>
      <c r="N63" s="50"/>
      <c r="O63" s="336" t="s">
        <v>79</v>
      </c>
      <c r="P63" s="341" t="s">
        <v>17</v>
      </c>
      <c r="Q63" s="337">
        <f>IF((-C59+C67)&gt;0,(-C59+C67),0)</f>
        <v>291514.20359799819</v>
      </c>
      <c r="R63" s="339">
        <f>IF((-C59+C67)&lt;0,(-C59+C67),0)</f>
        <v>0</v>
      </c>
    </row>
    <row r="64" spans="1:18" s="386" customFormat="1">
      <c r="A64" s="58"/>
      <c r="B64" s="59" t="s">
        <v>49</v>
      </c>
      <c r="C64" s="50">
        <f>SUM(D64:L64)</f>
        <v>0</v>
      </c>
      <c r="D64" s="161"/>
      <c r="E64" s="161"/>
      <c r="F64" s="161"/>
      <c r="G64" s="161"/>
      <c r="H64" s="161"/>
      <c r="I64" s="161"/>
      <c r="J64" s="161"/>
      <c r="K64" s="161"/>
      <c r="L64" s="245">
        <v>0</v>
      </c>
      <c r="M64" s="134"/>
      <c r="N64" s="50"/>
      <c r="O64" s="342" t="s">
        <v>80</v>
      </c>
      <c r="P64" s="341" t="s">
        <v>20</v>
      </c>
      <c r="Q64" s="112">
        <f>IF((C61+C62)&lt;0,(-C61-C62),0)</f>
        <v>0</v>
      </c>
      <c r="R64" s="339">
        <f>IF((C61+C62)&gt;0,(-C61-C62),0)</f>
        <v>-291085.24359799817</v>
      </c>
    </row>
    <row r="65" spans="1:18" s="386" customFormat="1">
      <c r="A65" s="58"/>
      <c r="B65" s="59" t="s">
        <v>144</v>
      </c>
      <c r="C65" s="50">
        <f>SUM(D65:L65)</f>
        <v>0</v>
      </c>
      <c r="D65" s="161"/>
      <c r="E65" s="161"/>
      <c r="F65" s="161"/>
      <c r="G65" s="161"/>
      <c r="H65" s="161"/>
      <c r="I65" s="161"/>
      <c r="J65" s="161"/>
      <c r="K65" s="161"/>
      <c r="L65" s="245">
        <v>0</v>
      </c>
      <c r="M65" s="134"/>
      <c r="N65" s="50"/>
      <c r="O65" s="344" t="s">
        <v>82</v>
      </c>
      <c r="P65" s="341" t="s">
        <v>75</v>
      </c>
      <c r="Q65" s="346">
        <v>0</v>
      </c>
      <c r="R65" s="339">
        <f>IF(C66&gt;0,-C66,0)</f>
        <v>-428.96</v>
      </c>
    </row>
    <row r="66" spans="1:18" s="386" customFormat="1" ht="16" thickBot="1">
      <c r="A66" s="61"/>
      <c r="B66" s="59" t="s">
        <v>12</v>
      </c>
      <c r="C66" s="50">
        <f>SUM(D66:L66)</f>
        <v>428.96</v>
      </c>
      <c r="D66" s="161"/>
      <c r="E66" s="161"/>
      <c r="F66" s="161">
        <v>428.96</v>
      </c>
      <c r="G66" s="161"/>
      <c r="H66" s="161"/>
      <c r="I66" s="161"/>
      <c r="J66" s="161"/>
      <c r="K66" s="161"/>
      <c r="L66" s="247"/>
      <c r="M66" s="238">
        <v>3.2500000000000001E-2</v>
      </c>
      <c r="N66" s="50"/>
      <c r="O66" s="345" t="s">
        <v>83</v>
      </c>
      <c r="P66" s="343" t="s">
        <v>76</v>
      </c>
      <c r="Q66" s="116">
        <f>IF(-C66&gt;0,-C66,0)</f>
        <v>0</v>
      </c>
      <c r="R66" s="116">
        <f>IF(C66&gt;0,0,0)</f>
        <v>0</v>
      </c>
    </row>
    <row r="67" spans="1:18" s="386" customFormat="1" ht="16" thickBot="1">
      <c r="A67" s="103">
        <f>A61</f>
        <v>41425</v>
      </c>
      <c r="B67" s="50" t="s">
        <v>56</v>
      </c>
      <c r="C67" s="158">
        <f>SUM(C59:C66)</f>
        <v>304355.16313978739</v>
      </c>
      <c r="D67" s="158">
        <f>SUM(D59:D66)</f>
        <v>-1209054.7576992149</v>
      </c>
      <c r="E67" s="158">
        <f>SUM(E59:E66)</f>
        <v>1564355.9408390005</v>
      </c>
      <c r="F67" s="158">
        <f>SUM(F59:F66)</f>
        <v>-50946.020000000011</v>
      </c>
      <c r="G67" s="158">
        <f t="shared" ref="G67:K67" si="5">SUM(G56:G66)</f>
        <v>0</v>
      </c>
      <c r="H67" s="158">
        <f t="shared" si="5"/>
        <v>0</v>
      </c>
      <c r="I67" s="158">
        <f t="shared" si="5"/>
        <v>0</v>
      </c>
      <c r="J67" s="158">
        <f t="shared" si="5"/>
        <v>0</v>
      </c>
      <c r="K67" s="158">
        <f t="shared" si="5"/>
        <v>0</v>
      </c>
      <c r="L67" s="158">
        <f>SUM(L59:L66)</f>
        <v>0</v>
      </c>
      <c r="M67" s="57"/>
      <c r="N67" s="387"/>
      <c r="O67" s="387"/>
      <c r="P67" s="387"/>
      <c r="Q67" s="387"/>
      <c r="R67" s="340">
        <f>ROUND(SUM(Q62:R66),2)</f>
        <v>0</v>
      </c>
    </row>
    <row r="68" spans="1:18" s="386" customFormat="1" ht="16.5" thickTop="1" thickBot="1">
      <c r="A68" s="53"/>
      <c r="C68" s="387"/>
      <c r="M68" s="52"/>
    </row>
    <row r="69" spans="1:18" s="386" customFormat="1" ht="16" thickBot="1">
      <c r="A69" s="58">
        <v>41426</v>
      </c>
      <c r="B69" s="59" t="s">
        <v>84</v>
      </c>
      <c r="C69" s="50">
        <f>SUM(D69:L69)</f>
        <v>839471.48552700132</v>
      </c>
      <c r="D69" s="246">
        <v>-173993.23901399877</v>
      </c>
      <c r="E69" s="246">
        <v>1013464.7245410001</v>
      </c>
      <c r="F69" s="161">
        <v>0</v>
      </c>
      <c r="G69" s="161"/>
      <c r="H69" s="161"/>
      <c r="I69" s="161"/>
      <c r="J69" s="390"/>
      <c r="K69" s="161"/>
      <c r="L69" s="161">
        <v>0</v>
      </c>
      <c r="M69" s="133"/>
      <c r="N69" s="50"/>
      <c r="O69" s="338" t="s">
        <v>106</v>
      </c>
      <c r="P69" s="93"/>
      <c r="Q69" s="93"/>
      <c r="R69" s="94"/>
    </row>
    <row r="70" spans="1:18" s="386" customFormat="1">
      <c r="A70" s="58"/>
      <c r="B70" s="59" t="s">
        <v>148</v>
      </c>
      <c r="C70" s="50">
        <f>SUM(D70:F70)</f>
        <v>0</v>
      </c>
      <c r="D70" s="243"/>
      <c r="E70" s="243">
        <v>0</v>
      </c>
      <c r="F70" s="161"/>
      <c r="G70" s="161"/>
      <c r="H70" s="161"/>
      <c r="I70" s="161"/>
      <c r="J70" s="161"/>
      <c r="K70" s="161"/>
      <c r="L70" s="161"/>
      <c r="M70" s="133"/>
      <c r="N70" s="50"/>
      <c r="O70" s="349" t="s">
        <v>213</v>
      </c>
      <c r="P70" s="341" t="s">
        <v>27</v>
      </c>
      <c r="Q70" s="337">
        <v>0</v>
      </c>
      <c r="R70" s="339">
        <v>0</v>
      </c>
    </row>
    <row r="71" spans="1:18" s="386" customFormat="1">
      <c r="A71" s="58"/>
      <c r="B71" s="20" t="s">
        <v>157</v>
      </c>
      <c r="C71" s="50">
        <f>SUM(D71:L71)</f>
        <v>0</v>
      </c>
      <c r="D71" s="244">
        <v>0</v>
      </c>
      <c r="E71" s="243"/>
      <c r="F71" s="161"/>
      <c r="G71" s="161"/>
      <c r="H71" s="161"/>
      <c r="I71" s="161"/>
      <c r="J71" s="161"/>
      <c r="K71" s="161"/>
      <c r="L71" s="161"/>
      <c r="M71" s="133"/>
      <c r="N71" s="50"/>
      <c r="O71" s="336" t="s">
        <v>79</v>
      </c>
      <c r="P71" s="341" t="s">
        <v>17</v>
      </c>
      <c r="Q71" s="337">
        <f>IF((-C67+C75)&gt;0,(-C67+C75),0)</f>
        <v>841432.56552700151</v>
      </c>
      <c r="R71" s="339">
        <f>IF((-C67+C75)&lt;0,(-C67+C75),0)</f>
        <v>0</v>
      </c>
    </row>
    <row r="72" spans="1:18" s="386" customFormat="1">
      <c r="A72" s="58"/>
      <c r="B72" s="59" t="s">
        <v>49</v>
      </c>
      <c r="C72" s="50">
        <f>SUM(D72:L72)</f>
        <v>0</v>
      </c>
      <c r="D72" s="161"/>
      <c r="E72" s="161"/>
      <c r="F72" s="161"/>
      <c r="G72" s="161"/>
      <c r="H72" s="161"/>
      <c r="I72" s="161"/>
      <c r="J72" s="161"/>
      <c r="K72" s="161"/>
      <c r="L72" s="245">
        <v>0</v>
      </c>
      <c r="M72" s="134"/>
      <c r="N72" s="50"/>
      <c r="O72" s="342" t="s">
        <v>80</v>
      </c>
      <c r="P72" s="341" t="s">
        <v>20</v>
      </c>
      <c r="Q72" s="112">
        <f>IF((C69+C70)&lt;0,(-C69-C70),0)</f>
        <v>0</v>
      </c>
      <c r="R72" s="339">
        <f>IF((C69+C70)&gt;0,(-C69-C70),0)</f>
        <v>-839471.48552700132</v>
      </c>
    </row>
    <row r="73" spans="1:18" s="386" customFormat="1">
      <c r="A73" s="58"/>
      <c r="B73" s="59" t="s">
        <v>144</v>
      </c>
      <c r="C73" s="50">
        <f>SUM(D73:L73)</f>
        <v>0</v>
      </c>
      <c r="D73" s="161"/>
      <c r="E73" s="161"/>
      <c r="F73" s="161"/>
      <c r="G73" s="161"/>
      <c r="H73" s="161"/>
      <c r="I73" s="161"/>
      <c r="J73" s="161"/>
      <c r="K73" s="161"/>
      <c r="L73" s="245">
        <v>0</v>
      </c>
      <c r="M73" s="134"/>
      <c r="N73" s="50"/>
      <c r="O73" s="344" t="s">
        <v>82</v>
      </c>
      <c r="P73" s="341" t="s">
        <v>75</v>
      </c>
      <c r="Q73" s="346">
        <v>0</v>
      </c>
      <c r="R73" s="339">
        <f>IF(C74&gt;0,-C74,0)</f>
        <v>-1961.08</v>
      </c>
    </row>
    <row r="74" spans="1:18" s="386" customFormat="1" ht="16" thickBot="1">
      <c r="A74" s="61"/>
      <c r="B74" s="59" t="s">
        <v>12</v>
      </c>
      <c r="C74" s="50">
        <f>SUM(D74:L74)</f>
        <v>1961.08</v>
      </c>
      <c r="D74" s="161"/>
      <c r="E74" s="161"/>
      <c r="F74" s="161">
        <v>1961.08</v>
      </c>
      <c r="G74" s="161"/>
      <c r="H74" s="161"/>
      <c r="I74" s="161"/>
      <c r="J74" s="161"/>
      <c r="K74" s="161"/>
      <c r="L74" s="247"/>
      <c r="M74" s="238">
        <v>3.2500000000000001E-2</v>
      </c>
      <c r="N74" s="50"/>
      <c r="O74" s="345" t="s">
        <v>83</v>
      </c>
      <c r="P74" s="343" t="s">
        <v>76</v>
      </c>
      <c r="Q74" s="116">
        <f>IF(-C74&gt;0,-C74,0)</f>
        <v>0</v>
      </c>
      <c r="R74" s="116">
        <f>IF(C74&gt;0,0,0)</f>
        <v>0</v>
      </c>
    </row>
    <row r="75" spans="1:18" s="386" customFormat="1" ht="16" thickBot="1">
      <c r="A75" s="103">
        <f>A69</f>
        <v>41426</v>
      </c>
      <c r="B75" s="50" t="s">
        <v>56</v>
      </c>
      <c r="C75" s="158">
        <f>SUM(C67:C74)</f>
        <v>1145787.7286667889</v>
      </c>
      <c r="D75" s="158">
        <f>SUM(D67:D74)</f>
        <v>-1383047.9967132136</v>
      </c>
      <c r="E75" s="158">
        <f>SUM(E67:E74)</f>
        <v>2577820.6653800006</v>
      </c>
      <c r="F75" s="158">
        <f>SUM(F67:F74)</f>
        <v>-48984.94000000001</v>
      </c>
      <c r="G75" s="158">
        <f t="shared" ref="G75:K75" si="6">SUM(G64:G74)</f>
        <v>0</v>
      </c>
      <c r="H75" s="158">
        <f t="shared" si="6"/>
        <v>0</v>
      </c>
      <c r="I75" s="158">
        <f t="shared" si="6"/>
        <v>0</v>
      </c>
      <c r="J75" s="158">
        <f t="shared" si="6"/>
        <v>0</v>
      </c>
      <c r="K75" s="158">
        <f t="shared" si="6"/>
        <v>0</v>
      </c>
      <c r="L75" s="158">
        <f>SUM(L67:L74)</f>
        <v>0</v>
      </c>
      <c r="M75" s="57"/>
      <c r="N75" s="387"/>
      <c r="O75" s="387"/>
      <c r="P75" s="387"/>
      <c r="Q75" s="387"/>
      <c r="R75" s="340">
        <f>ROUND(SUM(Q70:R74),2)</f>
        <v>0</v>
      </c>
    </row>
    <row r="76" spans="1:18" ht="16.5" thickTop="1" thickBot="1"/>
    <row r="77" spans="1:18" s="386" customFormat="1" ht="16" thickBot="1">
      <c r="A77" s="58">
        <v>41456</v>
      </c>
      <c r="B77" s="59" t="s">
        <v>84</v>
      </c>
      <c r="C77" s="50">
        <f>SUM(D77:L77)</f>
        <v>777094.91390700196</v>
      </c>
      <c r="D77" s="246">
        <v>-494523.11633399874</v>
      </c>
      <c r="E77" s="246">
        <v>1271618.0302410007</v>
      </c>
      <c r="F77" s="161">
        <v>0</v>
      </c>
      <c r="G77" s="161"/>
      <c r="H77" s="161"/>
      <c r="I77" s="161"/>
      <c r="J77" s="390"/>
      <c r="K77" s="161"/>
      <c r="L77" s="161">
        <v>0</v>
      </c>
      <c r="M77" s="133"/>
      <c r="N77" s="50"/>
      <c r="O77" s="338" t="s">
        <v>106</v>
      </c>
      <c r="P77" s="93"/>
      <c r="Q77" s="93"/>
      <c r="R77" s="94"/>
    </row>
    <row r="78" spans="1:18" s="386" customFormat="1">
      <c r="A78" s="58"/>
      <c r="B78" s="59" t="s">
        <v>148</v>
      </c>
      <c r="C78" s="50">
        <f>SUM(D78:F78)</f>
        <v>0</v>
      </c>
      <c r="D78" s="243"/>
      <c r="E78" s="243">
        <v>0</v>
      </c>
      <c r="F78" s="161"/>
      <c r="G78" s="161"/>
      <c r="H78" s="161"/>
      <c r="I78" s="161"/>
      <c r="J78" s="161"/>
      <c r="K78" s="161"/>
      <c r="L78" s="161"/>
      <c r="M78" s="133"/>
      <c r="N78" s="50"/>
      <c r="O78" s="349" t="s">
        <v>213</v>
      </c>
      <c r="P78" s="341" t="s">
        <v>27</v>
      </c>
      <c r="Q78" s="337">
        <v>0</v>
      </c>
      <c r="R78" s="339">
        <v>0</v>
      </c>
    </row>
    <row r="79" spans="1:18" s="386" customFormat="1">
      <c r="A79" s="58"/>
      <c r="B79" s="20" t="s">
        <v>157</v>
      </c>
      <c r="C79" s="50">
        <f>SUM(D79:L79)</f>
        <v>0</v>
      </c>
      <c r="D79" s="244">
        <v>0</v>
      </c>
      <c r="E79" s="243"/>
      <c r="F79" s="161"/>
      <c r="G79" s="161"/>
      <c r="H79" s="161"/>
      <c r="I79" s="161"/>
      <c r="J79" s="161"/>
      <c r="K79" s="161"/>
      <c r="L79" s="161"/>
      <c r="M79" s="133"/>
      <c r="N79" s="50"/>
      <c r="O79" s="336" t="s">
        <v>79</v>
      </c>
      <c r="P79" s="341" t="s">
        <v>17</v>
      </c>
      <c r="Q79" s="337">
        <f>IF((-C75+C83)&gt;0,(-C75+C83),0)</f>
        <v>781250.40390700195</v>
      </c>
      <c r="R79" s="339">
        <f>IF((-C75+C83)&lt;0,(-C75+C83),0)</f>
        <v>0</v>
      </c>
    </row>
    <row r="80" spans="1:18" s="386" customFormat="1">
      <c r="A80" s="58"/>
      <c r="B80" s="59" t="s">
        <v>49</v>
      </c>
      <c r="C80" s="50">
        <f>SUM(D80:L80)</f>
        <v>0</v>
      </c>
      <c r="D80" s="161"/>
      <c r="E80" s="161"/>
      <c r="F80" s="161"/>
      <c r="G80" s="161"/>
      <c r="H80" s="161"/>
      <c r="I80" s="161"/>
      <c r="J80" s="161"/>
      <c r="K80" s="161"/>
      <c r="L80" s="245">
        <v>0</v>
      </c>
      <c r="M80" s="134"/>
      <c r="N80" s="50"/>
      <c r="O80" s="342" t="s">
        <v>80</v>
      </c>
      <c r="P80" s="341" t="s">
        <v>20</v>
      </c>
      <c r="Q80" s="112">
        <f>IF((C77+C78)&lt;0,(-C77-C78),0)</f>
        <v>0</v>
      </c>
      <c r="R80" s="339">
        <f>IF((C77+C78)&gt;0,(-C77-C78),0)</f>
        <v>-777094.91390700196</v>
      </c>
    </row>
    <row r="81" spans="1:18" s="386" customFormat="1">
      <c r="A81" s="58"/>
      <c r="B81" s="59" t="s">
        <v>144</v>
      </c>
      <c r="C81" s="50">
        <f>SUM(D81:L81)</f>
        <v>0</v>
      </c>
      <c r="D81" s="161"/>
      <c r="E81" s="161"/>
      <c r="F81" s="161"/>
      <c r="G81" s="161"/>
      <c r="H81" s="161"/>
      <c r="I81" s="161"/>
      <c r="J81" s="161"/>
      <c r="K81" s="161"/>
      <c r="L81" s="245">
        <v>0</v>
      </c>
      <c r="M81" s="134"/>
      <c r="N81" s="50"/>
      <c r="O81" s="344" t="s">
        <v>82</v>
      </c>
      <c r="P81" s="341" t="s">
        <v>75</v>
      </c>
      <c r="Q81" s="346">
        <v>0</v>
      </c>
      <c r="R81" s="339">
        <f>IF(C82&gt;0,-C82,0)</f>
        <v>-4155.49</v>
      </c>
    </row>
    <row r="82" spans="1:18" s="386" customFormat="1" ht="16" thickBot="1">
      <c r="A82" s="61"/>
      <c r="B82" s="59" t="s">
        <v>12</v>
      </c>
      <c r="C82" s="50">
        <f>SUM(D82:L82)</f>
        <v>4155.49</v>
      </c>
      <c r="D82" s="161"/>
      <c r="E82" s="161"/>
      <c r="F82" s="161">
        <v>4155.49</v>
      </c>
      <c r="G82" s="161"/>
      <c r="H82" s="161"/>
      <c r="I82" s="161"/>
      <c r="J82" s="161"/>
      <c r="K82" s="161"/>
      <c r="L82" s="247"/>
      <c r="M82" s="238">
        <v>3.2500000000000001E-2</v>
      </c>
      <c r="N82" s="50"/>
      <c r="O82" s="345" t="s">
        <v>83</v>
      </c>
      <c r="P82" s="343" t="s">
        <v>76</v>
      </c>
      <c r="Q82" s="116">
        <f>IF(-C82&gt;0,-C82,0)</f>
        <v>0</v>
      </c>
      <c r="R82" s="116">
        <f>IF(C82&gt;0,0,0)</f>
        <v>0</v>
      </c>
    </row>
    <row r="83" spans="1:18" s="386" customFormat="1" ht="16" thickBot="1">
      <c r="A83" s="103">
        <f>A77</f>
        <v>41456</v>
      </c>
      <c r="B83" s="50" t="s">
        <v>56</v>
      </c>
      <c r="C83" s="158">
        <f>SUM(C75:C82)</f>
        <v>1927038.1325737908</v>
      </c>
      <c r="D83" s="158">
        <f>SUM(D75:D82)</f>
        <v>-1877571.1130472124</v>
      </c>
      <c r="E83" s="158">
        <f>SUM(E75:E82)</f>
        <v>3849438.6956210015</v>
      </c>
      <c r="F83" s="158">
        <f>SUM(F75:F82)</f>
        <v>-44829.450000000012</v>
      </c>
      <c r="G83" s="158">
        <f t="shared" ref="G83:K83" si="7">SUM(G72:G82)</f>
        <v>0</v>
      </c>
      <c r="H83" s="158">
        <f t="shared" si="7"/>
        <v>0</v>
      </c>
      <c r="I83" s="158">
        <f t="shared" si="7"/>
        <v>0</v>
      </c>
      <c r="J83" s="158">
        <f t="shared" si="7"/>
        <v>0</v>
      </c>
      <c r="K83" s="158">
        <f t="shared" si="7"/>
        <v>0</v>
      </c>
      <c r="L83" s="158">
        <f>SUM(L75:L82)</f>
        <v>0</v>
      </c>
      <c r="M83" s="57"/>
      <c r="N83" s="387"/>
      <c r="O83" s="387"/>
      <c r="P83" s="387"/>
      <c r="Q83" s="387"/>
      <c r="R83" s="340">
        <f>ROUND(SUM(Q78:R82),2)</f>
        <v>0</v>
      </c>
    </row>
    <row r="84" spans="1:18" ht="16.5" thickTop="1" thickBot="1"/>
    <row r="85" spans="1:18" s="386" customFormat="1" ht="16" thickBot="1">
      <c r="A85" s="58">
        <v>41487</v>
      </c>
      <c r="B85" s="59" t="s">
        <v>84</v>
      </c>
      <c r="C85" s="50">
        <f>SUM(D85:L85)</f>
        <v>564000.44398000068</v>
      </c>
      <c r="D85" s="246">
        <v>-646266.22842499963</v>
      </c>
      <c r="E85" s="246">
        <v>1210266.6724050003</v>
      </c>
      <c r="F85" s="161">
        <v>0</v>
      </c>
      <c r="G85" s="161"/>
      <c r="H85" s="161"/>
      <c r="I85" s="161"/>
      <c r="J85" s="390"/>
      <c r="K85" s="161"/>
      <c r="L85" s="161">
        <v>0</v>
      </c>
      <c r="M85" s="133"/>
      <c r="N85" s="50"/>
      <c r="O85" s="338" t="s">
        <v>106</v>
      </c>
      <c r="P85" s="93"/>
      <c r="Q85" s="93"/>
      <c r="R85" s="94"/>
    </row>
    <row r="86" spans="1:18" s="386" customFormat="1">
      <c r="A86" s="58"/>
      <c r="B86" s="59" t="s">
        <v>148</v>
      </c>
      <c r="C86" s="50">
        <f>SUM(D86:F86)</f>
        <v>0</v>
      </c>
      <c r="D86" s="243"/>
      <c r="E86" s="243">
        <v>0</v>
      </c>
      <c r="F86" s="161"/>
      <c r="G86" s="161"/>
      <c r="H86" s="161"/>
      <c r="I86" s="161"/>
      <c r="J86" s="161"/>
      <c r="K86" s="161"/>
      <c r="L86" s="161"/>
      <c r="M86" s="133"/>
      <c r="N86" s="50"/>
      <c r="O86" s="349" t="s">
        <v>213</v>
      </c>
      <c r="P86" s="341" t="s">
        <v>27</v>
      </c>
      <c r="Q86" s="337">
        <v>0</v>
      </c>
      <c r="R86" s="339">
        <v>0</v>
      </c>
    </row>
    <row r="87" spans="1:18" s="386" customFormat="1">
      <c r="A87" s="58"/>
      <c r="B87" s="20" t="s">
        <v>157</v>
      </c>
      <c r="C87" s="50">
        <f>SUM(D87:L87)</f>
        <v>0</v>
      </c>
      <c r="D87" s="244">
        <v>0</v>
      </c>
      <c r="E87" s="243"/>
      <c r="F87" s="161"/>
      <c r="G87" s="161"/>
      <c r="H87" s="161"/>
      <c r="I87" s="161"/>
      <c r="J87" s="161"/>
      <c r="K87" s="161"/>
      <c r="L87" s="161"/>
      <c r="M87" s="133"/>
      <c r="N87" s="50"/>
      <c r="O87" s="336" t="s">
        <v>79</v>
      </c>
      <c r="P87" s="341" t="s">
        <v>17</v>
      </c>
      <c r="Q87" s="337">
        <f>IF((-C83+C91)&gt;0,(-C83+C91),0)</f>
        <v>569983.25398000097</v>
      </c>
      <c r="R87" s="339">
        <f>IF((-C83+C91)&lt;0,(-C83+C91),0)</f>
        <v>0</v>
      </c>
    </row>
    <row r="88" spans="1:18" s="386" customFormat="1">
      <c r="A88" s="58"/>
      <c r="B88" s="59" t="s">
        <v>49</v>
      </c>
      <c r="C88" s="50">
        <f>SUM(D88:L88)</f>
        <v>0</v>
      </c>
      <c r="D88" s="161"/>
      <c r="E88" s="161"/>
      <c r="F88" s="161"/>
      <c r="G88" s="161"/>
      <c r="H88" s="161"/>
      <c r="I88" s="161"/>
      <c r="J88" s="161"/>
      <c r="K88" s="161"/>
      <c r="L88" s="245">
        <v>0</v>
      </c>
      <c r="M88" s="134"/>
      <c r="N88" s="50"/>
      <c r="O88" s="342" t="s">
        <v>80</v>
      </c>
      <c r="P88" s="341" t="s">
        <v>20</v>
      </c>
      <c r="Q88" s="112">
        <f>IF((C85+C86)&lt;0,(-C85-C86),0)</f>
        <v>0</v>
      </c>
      <c r="R88" s="339">
        <f>IF((C85+C86)&gt;0,(-C85-C86),0)</f>
        <v>-564000.44398000068</v>
      </c>
    </row>
    <row r="89" spans="1:18" s="386" customFormat="1">
      <c r="A89" s="58"/>
      <c r="B89" s="59" t="s">
        <v>144</v>
      </c>
      <c r="C89" s="50">
        <f>SUM(D89:L89)</f>
        <v>0</v>
      </c>
      <c r="D89" s="161"/>
      <c r="E89" s="161"/>
      <c r="F89" s="161"/>
      <c r="G89" s="161"/>
      <c r="H89" s="161"/>
      <c r="I89" s="161"/>
      <c r="J89" s="161"/>
      <c r="K89" s="161"/>
      <c r="L89" s="245">
        <v>0</v>
      </c>
      <c r="M89" s="134"/>
      <c r="N89" s="50"/>
      <c r="O89" s="344" t="s">
        <v>82</v>
      </c>
      <c r="P89" s="341" t="s">
        <v>75</v>
      </c>
      <c r="Q89" s="346">
        <v>0</v>
      </c>
      <c r="R89" s="339">
        <f>IF(C90&gt;0,-C90,0)</f>
        <v>-5982.81</v>
      </c>
    </row>
    <row r="90" spans="1:18" s="386" customFormat="1" ht="16" thickBot="1">
      <c r="A90" s="61"/>
      <c r="B90" s="59" t="s">
        <v>12</v>
      </c>
      <c r="C90" s="50">
        <f>SUM(D90:L90)</f>
        <v>5982.81</v>
      </c>
      <c r="D90" s="161"/>
      <c r="E90" s="161"/>
      <c r="F90" s="161">
        <v>5982.81</v>
      </c>
      <c r="G90" s="161"/>
      <c r="H90" s="161"/>
      <c r="I90" s="161"/>
      <c r="J90" s="161"/>
      <c r="K90" s="161"/>
      <c r="L90" s="247"/>
      <c r="M90" s="238">
        <v>3.2500000000000001E-2</v>
      </c>
      <c r="N90" s="50"/>
      <c r="O90" s="345" t="s">
        <v>83</v>
      </c>
      <c r="P90" s="343" t="s">
        <v>76</v>
      </c>
      <c r="Q90" s="116">
        <f>IF(-C90&gt;0,-C90,0)</f>
        <v>0</v>
      </c>
      <c r="R90" s="116">
        <f>IF(C90&gt;0,0,0)</f>
        <v>0</v>
      </c>
    </row>
    <row r="91" spans="1:18" s="386" customFormat="1" ht="16" thickBot="1">
      <c r="A91" s="103">
        <f>A85</f>
        <v>41487</v>
      </c>
      <c r="B91" s="50" t="s">
        <v>56</v>
      </c>
      <c r="C91" s="158">
        <f>SUM(C83:C90)</f>
        <v>2497021.3865537918</v>
      </c>
      <c r="D91" s="158">
        <f>SUM(D83:D90)</f>
        <v>-2523837.3414722122</v>
      </c>
      <c r="E91" s="158">
        <f>SUM(E83:E90)</f>
        <v>5059705.3680260014</v>
      </c>
      <c r="F91" s="158">
        <f>SUM(F83:F90)</f>
        <v>-38846.640000000014</v>
      </c>
      <c r="G91" s="158">
        <f t="shared" ref="G91:K91" si="8">SUM(G80:G90)</f>
        <v>0</v>
      </c>
      <c r="H91" s="158">
        <f t="shared" si="8"/>
        <v>0</v>
      </c>
      <c r="I91" s="158">
        <f t="shared" si="8"/>
        <v>0</v>
      </c>
      <c r="J91" s="158">
        <f t="shared" si="8"/>
        <v>0</v>
      </c>
      <c r="K91" s="158">
        <f t="shared" si="8"/>
        <v>0</v>
      </c>
      <c r="L91" s="158">
        <f>SUM(L83:L90)</f>
        <v>0</v>
      </c>
      <c r="M91" s="57"/>
      <c r="N91" s="387"/>
      <c r="O91" s="387"/>
      <c r="P91" s="387"/>
      <c r="Q91" s="387"/>
      <c r="R91" s="340">
        <f>ROUND(SUM(Q86:R90),2)</f>
        <v>0</v>
      </c>
    </row>
    <row r="92" spans="1:18" s="386" customFormat="1" ht="16.5" thickTop="1" thickBot="1">
      <c r="A92" s="53"/>
      <c r="M92" s="52"/>
    </row>
    <row r="93" spans="1:18" s="386" customFormat="1" ht="16" thickBot="1">
      <c r="A93" s="58">
        <v>41518</v>
      </c>
      <c r="B93" s="59" t="s">
        <v>84</v>
      </c>
      <c r="C93" s="50">
        <f>SUM(D93:L93)</f>
        <v>208713.47537599935</v>
      </c>
      <c r="D93" s="246">
        <v>-814688.68566800107</v>
      </c>
      <c r="E93" s="246">
        <v>1023402.1610440004</v>
      </c>
      <c r="F93" s="161">
        <v>0</v>
      </c>
      <c r="G93" s="161"/>
      <c r="H93" s="161"/>
      <c r="I93" s="161"/>
      <c r="J93" s="390"/>
      <c r="K93" s="161"/>
      <c r="L93" s="161">
        <v>0</v>
      </c>
      <c r="M93" s="133"/>
      <c r="N93" s="50"/>
      <c r="O93" s="338" t="s">
        <v>106</v>
      </c>
      <c r="P93" s="93"/>
      <c r="Q93" s="93"/>
      <c r="R93" s="94"/>
    </row>
    <row r="94" spans="1:18" s="386" customFormat="1">
      <c r="A94" s="58"/>
      <c r="B94" s="59" t="s">
        <v>148</v>
      </c>
      <c r="C94" s="50">
        <f>SUM(D94:F94)</f>
        <v>0</v>
      </c>
      <c r="D94" s="243"/>
      <c r="E94" s="243">
        <v>0</v>
      </c>
      <c r="F94" s="161"/>
      <c r="G94" s="161"/>
      <c r="H94" s="161"/>
      <c r="I94" s="161"/>
      <c r="J94" s="161"/>
      <c r="K94" s="161"/>
      <c r="L94" s="161"/>
      <c r="M94" s="133"/>
      <c r="N94" s="50"/>
      <c r="O94" s="349" t="s">
        <v>213</v>
      </c>
      <c r="P94" s="341" t="s">
        <v>27</v>
      </c>
      <c r="Q94" s="337">
        <v>0</v>
      </c>
      <c r="R94" s="339">
        <v>0</v>
      </c>
    </row>
    <row r="95" spans="1:18" s="386" customFormat="1">
      <c r="A95" s="58"/>
      <c r="B95" s="20" t="s">
        <v>157</v>
      </c>
      <c r="C95" s="50">
        <f>SUM(D95:L95)</f>
        <v>0</v>
      </c>
      <c r="D95" s="244">
        <v>0</v>
      </c>
      <c r="E95" s="243"/>
      <c r="F95" s="161"/>
      <c r="G95" s="161"/>
      <c r="H95" s="161"/>
      <c r="I95" s="161"/>
      <c r="J95" s="161"/>
      <c r="K95" s="161"/>
      <c r="L95" s="161"/>
      <c r="M95" s="133"/>
      <c r="N95" s="50"/>
      <c r="O95" s="336" t="s">
        <v>79</v>
      </c>
      <c r="P95" s="341" t="s">
        <v>17</v>
      </c>
      <c r="Q95" s="337">
        <f>IF((-C91+C99)&gt;0,(-C91+C99),0)</f>
        <v>215758.87537599914</v>
      </c>
      <c r="R95" s="339">
        <f>IF((-C91+C99)&lt;0,(-C91+C99),0)</f>
        <v>0</v>
      </c>
    </row>
    <row r="96" spans="1:18" s="386" customFormat="1">
      <c r="A96" s="58"/>
      <c r="B96" s="59" t="s">
        <v>49</v>
      </c>
      <c r="C96" s="50">
        <f>SUM(D96:L96)</f>
        <v>0</v>
      </c>
      <c r="D96" s="161"/>
      <c r="E96" s="161"/>
      <c r="F96" s="161"/>
      <c r="G96" s="161"/>
      <c r="H96" s="161"/>
      <c r="I96" s="161"/>
      <c r="J96" s="161"/>
      <c r="K96" s="161"/>
      <c r="L96" s="245">
        <v>0</v>
      </c>
      <c r="M96" s="134"/>
      <c r="N96" s="50"/>
      <c r="O96" s="342" t="s">
        <v>80</v>
      </c>
      <c r="P96" s="341" t="s">
        <v>20</v>
      </c>
      <c r="Q96" s="112">
        <f>IF((C93+C94)&lt;0,(-C93-C94),0)</f>
        <v>0</v>
      </c>
      <c r="R96" s="339">
        <f>IF((C93+C94)&gt;0,(-C93-C94),0)</f>
        <v>-208713.47537599935</v>
      </c>
    </row>
    <row r="97" spans="1:18" s="386" customFormat="1">
      <c r="A97" s="58"/>
      <c r="B97" s="59" t="s">
        <v>144</v>
      </c>
      <c r="C97" s="50">
        <f>SUM(D97:L97)</f>
        <v>0</v>
      </c>
      <c r="D97" s="161"/>
      <c r="E97" s="161"/>
      <c r="F97" s="161"/>
      <c r="G97" s="161"/>
      <c r="H97" s="161"/>
      <c r="I97" s="161"/>
      <c r="J97" s="161"/>
      <c r="K97" s="161"/>
      <c r="L97" s="245">
        <v>0</v>
      </c>
      <c r="M97" s="134"/>
      <c r="N97" s="50"/>
      <c r="O97" s="344" t="s">
        <v>82</v>
      </c>
      <c r="P97" s="341" t="s">
        <v>75</v>
      </c>
      <c r="Q97" s="346">
        <v>0</v>
      </c>
      <c r="R97" s="339">
        <f>IF(C98&gt;0,-C98,0)</f>
        <v>-7045.4</v>
      </c>
    </row>
    <row r="98" spans="1:18" s="386" customFormat="1" ht="16" thickBot="1">
      <c r="A98" s="61"/>
      <c r="B98" s="59" t="s">
        <v>12</v>
      </c>
      <c r="C98" s="50">
        <f>SUM(D98:L98)</f>
        <v>7045.4</v>
      </c>
      <c r="D98" s="161"/>
      <c r="E98" s="161"/>
      <c r="F98" s="161">
        <v>7045.4</v>
      </c>
      <c r="G98" s="161"/>
      <c r="H98" s="161"/>
      <c r="I98" s="161"/>
      <c r="J98" s="161"/>
      <c r="K98" s="161"/>
      <c r="L98" s="247"/>
      <c r="M98" s="238">
        <v>3.2500000000000001E-2</v>
      </c>
      <c r="N98" s="50"/>
      <c r="O98" s="345" t="s">
        <v>83</v>
      </c>
      <c r="P98" s="343" t="s">
        <v>76</v>
      </c>
      <c r="Q98" s="116">
        <f>IF(-C98&gt;0,-C98,0)</f>
        <v>0</v>
      </c>
      <c r="R98" s="116">
        <f>IF(C98&gt;0,0,0)</f>
        <v>0</v>
      </c>
    </row>
    <row r="99" spans="1:18" s="386" customFormat="1" ht="16" thickBot="1">
      <c r="A99" s="103">
        <f>A93</f>
        <v>41518</v>
      </c>
      <c r="B99" s="50" t="s">
        <v>56</v>
      </c>
      <c r="C99" s="158">
        <f>SUM(C91:C98)</f>
        <v>2712780.261929791</v>
      </c>
      <c r="D99" s="158">
        <f>SUM(D91:D98)</f>
        <v>-3338526.0271402132</v>
      </c>
      <c r="E99" s="158">
        <f>SUM(E91:E98)</f>
        <v>6083107.529070002</v>
      </c>
      <c r="F99" s="158">
        <f>SUM(F91:F98)</f>
        <v>-31801.240000000013</v>
      </c>
      <c r="G99" s="158">
        <f t="shared" ref="G99:K99" si="9">SUM(G88:G98)</f>
        <v>0</v>
      </c>
      <c r="H99" s="158">
        <f t="shared" si="9"/>
        <v>0</v>
      </c>
      <c r="I99" s="158">
        <f t="shared" si="9"/>
        <v>0</v>
      </c>
      <c r="J99" s="158">
        <f t="shared" si="9"/>
        <v>0</v>
      </c>
      <c r="K99" s="158">
        <f t="shared" si="9"/>
        <v>0</v>
      </c>
      <c r="L99" s="158">
        <f>SUM(L91:L98)</f>
        <v>0</v>
      </c>
      <c r="M99" s="57"/>
      <c r="N99" s="387"/>
      <c r="O99" s="387"/>
      <c r="P99" s="387"/>
      <c r="Q99" s="387"/>
      <c r="R99" s="340">
        <f>ROUND(SUM(Q94:R98),2)</f>
        <v>0</v>
      </c>
    </row>
    <row r="100" spans="1:18" ht="16.5" thickTop="1" thickBot="1"/>
    <row r="101" spans="1:18" s="386" customFormat="1" ht="16" thickBot="1">
      <c r="A101" s="58">
        <v>41578</v>
      </c>
      <c r="B101" s="59" t="s">
        <v>84</v>
      </c>
      <c r="C101" s="50">
        <f>SUM(D101:L101)</f>
        <v>-464484.39013699861</v>
      </c>
      <c r="D101" s="246">
        <v>-726195.13553999923</v>
      </c>
      <c r="E101" s="246">
        <v>261710.74540300062</v>
      </c>
      <c r="F101" s="161">
        <v>0</v>
      </c>
      <c r="G101" s="161"/>
      <c r="H101" s="161"/>
      <c r="I101" s="161"/>
      <c r="J101" s="390"/>
      <c r="K101" s="161"/>
      <c r="L101" s="161">
        <v>0</v>
      </c>
      <c r="M101" s="133"/>
      <c r="N101" s="50"/>
      <c r="O101" s="338" t="s">
        <v>106</v>
      </c>
      <c r="P101" s="93"/>
      <c r="Q101" s="93"/>
      <c r="R101" s="94"/>
    </row>
    <row r="102" spans="1:18" s="386" customFormat="1">
      <c r="A102" s="58"/>
      <c r="B102" s="59" t="s">
        <v>148</v>
      </c>
      <c r="C102" s="50">
        <f>SUM(D102:F102)</f>
        <v>0</v>
      </c>
      <c r="D102" s="243"/>
      <c r="E102" s="243">
        <v>0</v>
      </c>
      <c r="F102" s="161"/>
      <c r="G102" s="161"/>
      <c r="H102" s="161"/>
      <c r="I102" s="161"/>
      <c r="J102" s="161"/>
      <c r="K102" s="161"/>
      <c r="L102" s="161"/>
      <c r="M102" s="133"/>
      <c r="N102" s="50"/>
      <c r="O102" s="349" t="s">
        <v>213</v>
      </c>
      <c r="P102" s="341" t="s">
        <v>27</v>
      </c>
      <c r="Q102" s="337">
        <v>0</v>
      </c>
      <c r="R102" s="339">
        <v>0</v>
      </c>
    </row>
    <row r="103" spans="1:18" s="386" customFormat="1">
      <c r="A103" s="58"/>
      <c r="B103" s="20" t="s">
        <v>157</v>
      </c>
      <c r="C103" s="50">
        <f>SUM(D103:L103)</f>
        <v>0</v>
      </c>
      <c r="D103" s="244">
        <v>0</v>
      </c>
      <c r="E103" s="243"/>
      <c r="F103" s="161"/>
      <c r="G103" s="161"/>
      <c r="H103" s="161"/>
      <c r="I103" s="161"/>
      <c r="J103" s="161"/>
      <c r="K103" s="161"/>
      <c r="L103" s="161"/>
      <c r="M103" s="133"/>
      <c r="N103" s="50"/>
      <c r="O103" s="336" t="s">
        <v>79</v>
      </c>
      <c r="P103" s="341" t="s">
        <v>17</v>
      </c>
      <c r="Q103" s="337">
        <f>IF((-C99+C107)&gt;0,(-C99+C107),0)</f>
        <v>0</v>
      </c>
      <c r="R103" s="339">
        <f>IF((-C99+C107)&lt;0,(-C99+C107),0)</f>
        <v>-457766.2701369985</v>
      </c>
    </row>
    <row r="104" spans="1:18" s="386" customFormat="1">
      <c r="A104" s="58"/>
      <c r="B104" s="59" t="s">
        <v>49</v>
      </c>
      <c r="C104" s="50">
        <f>SUM(D104:L104)</f>
        <v>0</v>
      </c>
      <c r="D104" s="161"/>
      <c r="E104" s="161"/>
      <c r="F104" s="161"/>
      <c r="G104" s="161"/>
      <c r="H104" s="161"/>
      <c r="I104" s="161"/>
      <c r="J104" s="161"/>
      <c r="K104" s="161"/>
      <c r="L104" s="245">
        <v>0</v>
      </c>
      <c r="M104" s="134"/>
      <c r="N104" s="50"/>
      <c r="O104" s="342" t="s">
        <v>80</v>
      </c>
      <c r="P104" s="341" t="s">
        <v>20</v>
      </c>
      <c r="Q104" s="112">
        <f>IF((C101+C102)&lt;0,(-C101-C102),0)</f>
        <v>464484.39013699861</v>
      </c>
      <c r="R104" s="339">
        <f>IF((C101+C102)&gt;0,(-C101-C102),0)</f>
        <v>0</v>
      </c>
    </row>
    <row r="105" spans="1:18" s="386" customFormat="1">
      <c r="A105" s="58"/>
      <c r="B105" s="59" t="s">
        <v>144</v>
      </c>
      <c r="C105" s="50">
        <f>SUM(D105:L105)</f>
        <v>0</v>
      </c>
      <c r="D105" s="161"/>
      <c r="E105" s="161"/>
      <c r="F105" s="161"/>
      <c r="G105" s="161"/>
      <c r="H105" s="161"/>
      <c r="I105" s="161"/>
      <c r="J105" s="161"/>
      <c r="K105" s="161"/>
      <c r="L105" s="245">
        <v>0</v>
      </c>
      <c r="M105" s="134"/>
      <c r="N105" s="50"/>
      <c r="O105" s="344" t="s">
        <v>82</v>
      </c>
      <c r="P105" s="341" t="s">
        <v>75</v>
      </c>
      <c r="Q105" s="346">
        <v>0</v>
      </c>
      <c r="R105" s="339">
        <f>IF(C106&gt;0,-C106,0)</f>
        <v>-6718.12</v>
      </c>
    </row>
    <row r="106" spans="1:18" s="386" customFormat="1" ht="16" thickBot="1">
      <c r="A106" s="61"/>
      <c r="B106" s="59" t="s">
        <v>12</v>
      </c>
      <c r="C106" s="50">
        <f>SUM(D106:L106)</f>
        <v>6718.12</v>
      </c>
      <c r="D106" s="161"/>
      <c r="E106" s="161"/>
      <c r="F106" s="161">
        <v>6718.12</v>
      </c>
      <c r="G106" s="161"/>
      <c r="H106" s="161"/>
      <c r="I106" s="161"/>
      <c r="J106" s="161"/>
      <c r="K106" s="161"/>
      <c r="L106" s="247"/>
      <c r="M106" s="238">
        <v>3.2500000000000001E-2</v>
      </c>
      <c r="N106" s="50"/>
      <c r="O106" s="345" t="s">
        <v>83</v>
      </c>
      <c r="P106" s="343" t="s">
        <v>76</v>
      </c>
      <c r="Q106" s="116">
        <f>IF(-C106&gt;0,-C106,0)</f>
        <v>0</v>
      </c>
      <c r="R106" s="116">
        <f>IF(C106&gt;0,0,0)</f>
        <v>0</v>
      </c>
    </row>
    <row r="107" spans="1:18" s="386" customFormat="1" ht="16" thickBot="1">
      <c r="A107" s="103">
        <f>A101</f>
        <v>41578</v>
      </c>
      <c r="B107" s="50" t="s">
        <v>56</v>
      </c>
      <c r="C107" s="158">
        <f>SUM(C99:C106)</f>
        <v>2255013.9917927925</v>
      </c>
      <c r="D107" s="158">
        <f>SUM(D99:D106)</f>
        <v>-4064721.1626802124</v>
      </c>
      <c r="E107" s="158">
        <f>SUM(E99:E106)</f>
        <v>6344818.2744730022</v>
      </c>
      <c r="F107" s="158">
        <f>SUM(F99:F106)</f>
        <v>-25083.120000000014</v>
      </c>
      <c r="G107" s="158">
        <f t="shared" ref="G107:K107" si="10">SUM(G96:G106)</f>
        <v>0</v>
      </c>
      <c r="H107" s="158">
        <f t="shared" si="10"/>
        <v>0</v>
      </c>
      <c r="I107" s="158">
        <f t="shared" si="10"/>
        <v>0</v>
      </c>
      <c r="J107" s="158">
        <f t="shared" si="10"/>
        <v>0</v>
      </c>
      <c r="K107" s="158">
        <f t="shared" si="10"/>
        <v>0</v>
      </c>
      <c r="L107" s="158">
        <f>SUM(L99:L106)</f>
        <v>0</v>
      </c>
      <c r="M107" s="57"/>
      <c r="N107" s="387"/>
      <c r="O107" s="387"/>
      <c r="P107" s="387"/>
      <c r="Q107" s="387"/>
      <c r="R107" s="340">
        <f>ROUND(SUM(Q102:R106),2)</f>
        <v>0</v>
      </c>
    </row>
    <row r="108" spans="1:18" s="386" customFormat="1" ht="16" thickTop="1">
      <c r="A108" s="53"/>
      <c r="M108" s="52"/>
    </row>
    <row r="109" spans="1:18" s="386" customFormat="1">
      <c r="A109" s="103">
        <v>41579</v>
      </c>
      <c r="B109" s="2" t="s">
        <v>232</v>
      </c>
      <c r="C109" s="50">
        <f>SUM(D109:L109)</f>
        <v>-1145801.7486667871</v>
      </c>
      <c r="D109" s="161">
        <f>-D75</f>
        <v>1383047.9967132136</v>
      </c>
      <c r="E109" s="161">
        <f>-E75</f>
        <v>-2577820.6653800006</v>
      </c>
      <c r="F109" s="161">
        <f>-F75-14.02</f>
        <v>48970.920000000013</v>
      </c>
      <c r="G109" s="161"/>
      <c r="H109" s="161"/>
      <c r="I109" s="161"/>
      <c r="J109" s="161"/>
      <c r="K109" s="161"/>
      <c r="L109" s="247"/>
      <c r="M109" s="52"/>
    </row>
    <row r="110" spans="1:18" s="386" customFormat="1" ht="16" thickBot="1">
      <c r="A110" s="103"/>
      <c r="B110" s="2" t="s">
        <v>235</v>
      </c>
      <c r="C110" s="158">
        <f>SUM(C107:C109)</f>
        <v>1109212.2431260054</v>
      </c>
      <c r="D110" s="158">
        <f>SUM(D107:D109)</f>
        <v>-2681673.1659669988</v>
      </c>
      <c r="E110" s="158">
        <f>SUM(E107:E109)</f>
        <v>3766997.6090930016</v>
      </c>
      <c r="F110" s="158">
        <f>SUM(F107:F109)</f>
        <v>23887.8</v>
      </c>
      <c r="G110" s="158"/>
      <c r="H110" s="158"/>
      <c r="I110" s="158"/>
      <c r="J110" s="158"/>
      <c r="K110" s="158"/>
      <c r="L110" s="158">
        <f>SUM(L107:L109)</f>
        <v>0</v>
      </c>
      <c r="M110" s="52"/>
    </row>
    <row r="111" spans="1:18" s="386" customFormat="1" ht="16.5" thickTop="1" thickBot="1">
      <c r="A111" s="53"/>
      <c r="M111" s="52"/>
    </row>
    <row r="112" spans="1:18" s="386" customFormat="1" ht="16" thickBot="1">
      <c r="A112" s="58">
        <f>EOMONTH(A101,1)</f>
        <v>41608</v>
      </c>
      <c r="B112" s="59" t="s">
        <v>84</v>
      </c>
      <c r="C112" s="50">
        <f>SUM(D112:L112)</f>
        <v>-1144165.7052559927</v>
      </c>
      <c r="D112" s="246">
        <v>-363626.86552299373</v>
      </c>
      <c r="E112" s="246">
        <v>-780538.83973299898</v>
      </c>
      <c r="F112" s="161">
        <v>0</v>
      </c>
      <c r="G112" s="161"/>
      <c r="H112" s="161"/>
      <c r="I112" s="161"/>
      <c r="J112" s="390"/>
      <c r="K112" s="161"/>
      <c r="L112" s="161">
        <v>0</v>
      </c>
      <c r="M112" s="133"/>
      <c r="N112" s="50"/>
      <c r="O112" s="338" t="s">
        <v>106</v>
      </c>
      <c r="P112" s="93"/>
      <c r="Q112" s="93"/>
      <c r="R112" s="94"/>
    </row>
    <row r="113" spans="1:18" s="386" customFormat="1">
      <c r="A113" s="58"/>
      <c r="B113" s="59" t="s">
        <v>148</v>
      </c>
      <c r="C113" s="50">
        <f>SUM(D113:F113)</f>
        <v>0</v>
      </c>
      <c r="D113" s="243"/>
      <c r="E113" s="243">
        <v>0</v>
      </c>
      <c r="F113" s="161"/>
      <c r="G113" s="161"/>
      <c r="H113" s="161"/>
      <c r="I113" s="161"/>
      <c r="J113" s="161"/>
      <c r="K113" s="161"/>
      <c r="L113" s="161"/>
      <c r="M113" s="133"/>
      <c r="N113" s="50"/>
      <c r="O113" s="349" t="s">
        <v>234</v>
      </c>
      <c r="P113" s="341" t="s">
        <v>27</v>
      </c>
      <c r="Q113" s="337">
        <f>-C109</f>
        <v>1145801.7486667871</v>
      </c>
      <c r="R113" s="339">
        <v>0</v>
      </c>
    </row>
    <row r="114" spans="1:18" s="386" customFormat="1">
      <c r="A114" s="58"/>
      <c r="B114" s="20" t="s">
        <v>157</v>
      </c>
      <c r="C114" s="50">
        <f>SUM(D114:L114)</f>
        <v>0</v>
      </c>
      <c r="D114" s="244">
        <v>0</v>
      </c>
      <c r="E114" s="243"/>
      <c r="F114" s="161"/>
      <c r="G114" s="161"/>
      <c r="H114" s="161"/>
      <c r="I114" s="161"/>
      <c r="J114" s="161"/>
      <c r="K114" s="161"/>
      <c r="L114" s="161"/>
      <c r="M114" s="133"/>
      <c r="N114" s="50"/>
      <c r="O114" s="336" t="s">
        <v>79</v>
      </c>
      <c r="P114" s="341" t="s">
        <v>17</v>
      </c>
      <c r="Q114" s="337">
        <f>IF((-C107+C118)&gt;0,(-C107+C118),0)</f>
        <v>0</v>
      </c>
      <c r="R114" s="339">
        <f>IF((-C107+C118)&lt;0,(-C107+C118),0)</f>
        <v>-2288512.7239227798</v>
      </c>
    </row>
    <row r="115" spans="1:18" s="386" customFormat="1">
      <c r="A115" s="58"/>
      <c r="B115" s="59" t="s">
        <v>49</v>
      </c>
      <c r="C115" s="50">
        <f>SUM(D115:L115)</f>
        <v>0</v>
      </c>
      <c r="D115" s="161"/>
      <c r="E115" s="161"/>
      <c r="F115" s="161"/>
      <c r="G115" s="161"/>
      <c r="H115" s="161"/>
      <c r="I115" s="161"/>
      <c r="J115" s="161"/>
      <c r="K115" s="161"/>
      <c r="L115" s="245">
        <v>0</v>
      </c>
      <c r="M115" s="134"/>
      <c r="N115" s="50"/>
      <c r="O115" s="342" t="s">
        <v>80</v>
      </c>
      <c r="P115" s="341" t="s">
        <v>20</v>
      </c>
      <c r="Q115" s="112">
        <f>IF((C112+C113)&lt;0,(-C112-C113),0)</f>
        <v>1144165.7052559927</v>
      </c>
      <c r="R115" s="339">
        <f>IF((C112+C113)&gt;0,(-C112-C113),0)</f>
        <v>0</v>
      </c>
    </row>
    <row r="116" spans="1:18" s="386" customFormat="1">
      <c r="A116" s="58"/>
      <c r="B116" s="59" t="s">
        <v>144</v>
      </c>
      <c r="C116" s="50">
        <f>SUM(D116:L116)</f>
        <v>0</v>
      </c>
      <c r="D116" s="161"/>
      <c r="E116" s="161"/>
      <c r="F116" s="161"/>
      <c r="G116" s="161"/>
      <c r="H116" s="161"/>
      <c r="I116" s="161"/>
      <c r="J116" s="161"/>
      <c r="K116" s="161"/>
      <c r="L116" s="245">
        <v>0</v>
      </c>
      <c r="M116" s="134"/>
      <c r="N116" s="50"/>
      <c r="O116" s="344" t="s">
        <v>82</v>
      </c>
      <c r="P116" s="341" t="s">
        <v>75</v>
      </c>
      <c r="Q116" s="346">
        <v>0</v>
      </c>
      <c r="R116" s="339">
        <f>IF(C117&gt;0,-C117,0)</f>
        <v>-1454.73</v>
      </c>
    </row>
    <row r="117" spans="1:18" s="386" customFormat="1" ht="16" thickBot="1">
      <c r="A117" s="61"/>
      <c r="B117" s="59" t="s">
        <v>12</v>
      </c>
      <c r="C117" s="50">
        <f>SUM(D117:L117)</f>
        <v>1454.73</v>
      </c>
      <c r="D117" s="161"/>
      <c r="E117" s="161"/>
      <c r="F117" s="161">
        <v>1454.73</v>
      </c>
      <c r="G117" s="161"/>
      <c r="H117" s="161"/>
      <c r="I117" s="161"/>
      <c r="J117" s="161"/>
      <c r="K117" s="161"/>
      <c r="L117" s="247"/>
      <c r="M117" s="238">
        <v>3.2500000000000001E-2</v>
      </c>
      <c r="N117" s="50"/>
      <c r="O117" s="345" t="s">
        <v>83</v>
      </c>
      <c r="P117" s="343" t="s">
        <v>76</v>
      </c>
      <c r="Q117" s="116">
        <f>IF(-C117&gt;0,-C117,0)</f>
        <v>0</v>
      </c>
      <c r="R117" s="116">
        <f>IF(C117&gt;0,0,0)</f>
        <v>0</v>
      </c>
    </row>
    <row r="118" spans="1:18" s="386" customFormat="1" ht="16" thickBot="1">
      <c r="A118" s="103">
        <f>A112</f>
        <v>41608</v>
      </c>
      <c r="B118" s="50" t="s">
        <v>56</v>
      </c>
      <c r="C118" s="158">
        <f>SUM(C110:C117)</f>
        <v>-33498.732129987307</v>
      </c>
      <c r="D118" s="158">
        <f>SUM(D110:D117)</f>
        <v>-3045300.0314899925</v>
      </c>
      <c r="E118" s="158">
        <f>SUM(E110:E117)</f>
        <v>2986458.7693600026</v>
      </c>
      <c r="F118" s="158">
        <f>SUM(F110:F117)</f>
        <v>25342.53</v>
      </c>
      <c r="G118" s="158">
        <f t="shared" ref="G118:K118" si="11">SUM(G104:G117)</f>
        <v>0</v>
      </c>
      <c r="H118" s="158">
        <f t="shared" si="11"/>
        <v>0</v>
      </c>
      <c r="I118" s="158">
        <f t="shared" si="11"/>
        <v>0</v>
      </c>
      <c r="J118" s="158">
        <f t="shared" si="11"/>
        <v>0</v>
      </c>
      <c r="K118" s="158">
        <f t="shared" si="11"/>
        <v>0</v>
      </c>
      <c r="L118" s="158">
        <f>SUM(L107:L117)</f>
        <v>0</v>
      </c>
      <c r="M118" s="57"/>
      <c r="N118" s="387"/>
      <c r="O118" s="387"/>
      <c r="P118" s="387"/>
      <c r="Q118" s="387"/>
      <c r="R118" s="340">
        <f>ROUND(SUM(Q113:R117),2)</f>
        <v>0</v>
      </c>
    </row>
    <row r="119" spans="1:18" s="386" customFormat="1" ht="16.5" thickTop="1" thickBot="1">
      <c r="A119" s="53"/>
      <c r="M119" s="52"/>
    </row>
    <row r="120" spans="1:18" s="386" customFormat="1" ht="16" thickBot="1">
      <c r="A120" s="58">
        <f>EOMONTH(A112,1)</f>
        <v>41639</v>
      </c>
      <c r="B120" s="59" t="s">
        <v>84</v>
      </c>
      <c r="C120" s="50">
        <f>SUM(D120:L120)</f>
        <v>-917562.81707999902</v>
      </c>
      <c r="D120" s="246">
        <f>Jan!$H$53</f>
        <v>688681.53940400109</v>
      </c>
      <c r="E120" s="246">
        <f>Jan!$I$53</f>
        <v>-1606244.3564840001</v>
      </c>
      <c r="F120" s="161">
        <v>0</v>
      </c>
      <c r="G120" s="161"/>
      <c r="H120" s="161"/>
      <c r="I120" s="161"/>
      <c r="J120" s="390"/>
      <c r="K120" s="161"/>
      <c r="L120" s="161">
        <v>0</v>
      </c>
      <c r="M120" s="133"/>
      <c r="N120" s="50"/>
      <c r="O120" s="338" t="s">
        <v>237</v>
      </c>
      <c r="P120" s="93"/>
      <c r="Q120" s="93"/>
      <c r="R120" s="94"/>
    </row>
    <row r="121" spans="1:18" s="386" customFormat="1">
      <c r="A121" s="58"/>
      <c r="B121" s="59" t="s">
        <v>148</v>
      </c>
      <c r="C121" s="50">
        <f>SUM(D121:F121)</f>
        <v>0</v>
      </c>
      <c r="D121" s="243"/>
      <c r="E121" s="243">
        <v>0</v>
      </c>
      <c r="F121" s="161"/>
      <c r="G121" s="161"/>
      <c r="H121" s="161"/>
      <c r="I121" s="161"/>
      <c r="J121" s="161"/>
      <c r="K121" s="161"/>
      <c r="L121" s="161"/>
      <c r="M121" s="133"/>
      <c r="N121" s="50"/>
      <c r="O121" s="349" t="s">
        <v>234</v>
      </c>
      <c r="P121" s="341" t="s">
        <v>27</v>
      </c>
      <c r="Q121" s="337">
        <v>0</v>
      </c>
      <c r="R121" s="339">
        <v>0</v>
      </c>
    </row>
    <row r="122" spans="1:18" s="386" customFormat="1">
      <c r="A122" s="58"/>
      <c r="B122" s="20" t="s">
        <v>157</v>
      </c>
      <c r="C122" s="50">
        <f>SUM(D122:L122)</f>
        <v>0</v>
      </c>
      <c r="D122" s="244">
        <v>0</v>
      </c>
      <c r="E122" s="243"/>
      <c r="F122" s="161"/>
      <c r="G122" s="161"/>
      <c r="H122" s="161"/>
      <c r="I122" s="161"/>
      <c r="J122" s="161"/>
      <c r="K122" s="161"/>
      <c r="L122" s="161"/>
      <c r="M122" s="133"/>
      <c r="N122" s="50"/>
      <c r="O122" s="336" t="s">
        <v>79</v>
      </c>
      <c r="P122" s="341" t="s">
        <v>17</v>
      </c>
      <c r="Q122" s="337">
        <f>IF((-C115+C126)&gt;0,(-C115+C126),0)</f>
        <v>0</v>
      </c>
      <c r="R122" s="339">
        <f>IF((-C118+C126)&lt;0,(-C118+C126),0)-C121</f>
        <v>-918896.07707999903</v>
      </c>
    </row>
    <row r="123" spans="1:18" s="386" customFormat="1">
      <c r="A123" s="58"/>
      <c r="B123" s="59" t="s">
        <v>49</v>
      </c>
      <c r="C123" s="50">
        <f>SUM(D123:L123)</f>
        <v>0</v>
      </c>
      <c r="D123" s="161"/>
      <c r="E123" s="161"/>
      <c r="F123" s="161"/>
      <c r="G123" s="161"/>
      <c r="H123" s="161"/>
      <c r="I123" s="161"/>
      <c r="J123" s="161"/>
      <c r="K123" s="161"/>
      <c r="L123" s="245">
        <v>0</v>
      </c>
      <c r="M123" s="134"/>
      <c r="N123" s="50"/>
      <c r="O123" s="342" t="s">
        <v>80</v>
      </c>
      <c r="P123" s="341" t="s">
        <v>20</v>
      </c>
      <c r="Q123" s="112">
        <f>IF((C120)&lt;0,(-C120),0)</f>
        <v>917562.81707999902</v>
      </c>
      <c r="R123" s="339">
        <f>IF((C120+C121)&gt;0,(-C120-C121),0)</f>
        <v>0</v>
      </c>
    </row>
    <row r="124" spans="1:18" s="386" customFormat="1">
      <c r="A124" s="58"/>
      <c r="B124" s="59" t="s">
        <v>144</v>
      </c>
      <c r="C124" s="50">
        <f>SUM(D124:L124)</f>
        <v>0</v>
      </c>
      <c r="D124" s="161"/>
      <c r="E124" s="161"/>
      <c r="F124" s="161"/>
      <c r="G124" s="161"/>
      <c r="H124" s="161"/>
      <c r="I124" s="161"/>
      <c r="J124" s="161"/>
      <c r="K124" s="161"/>
      <c r="L124" s="245">
        <v>0</v>
      </c>
      <c r="M124" s="134"/>
      <c r="N124" s="50"/>
      <c r="O124" s="344" t="s">
        <v>82</v>
      </c>
      <c r="P124" s="341" t="s">
        <v>75</v>
      </c>
      <c r="Q124" s="346">
        <v>0</v>
      </c>
      <c r="R124" s="339">
        <f>IF(C125&gt;0,-C125,0)</f>
        <v>0</v>
      </c>
    </row>
    <row r="125" spans="1:18" s="386" customFormat="1" ht="16" thickBot="1">
      <c r="A125" s="61"/>
      <c r="B125" s="59" t="s">
        <v>12</v>
      </c>
      <c r="C125" s="50">
        <f>SUM(D125:L125)</f>
        <v>-1333.26</v>
      </c>
      <c r="D125" s="161"/>
      <c r="E125" s="161"/>
      <c r="F125" s="161">
        <f>ROUND(((C118)+(C120)/2)*(M125/12),2)</f>
        <v>-1333.26</v>
      </c>
      <c r="G125" s="161"/>
      <c r="H125" s="161"/>
      <c r="I125" s="161"/>
      <c r="J125" s="161"/>
      <c r="K125" s="161"/>
      <c r="L125" s="247"/>
      <c r="M125" s="238">
        <v>3.2500000000000001E-2</v>
      </c>
      <c r="N125" s="50"/>
      <c r="O125" s="345" t="s">
        <v>83</v>
      </c>
      <c r="P125" s="343" t="s">
        <v>76</v>
      </c>
      <c r="Q125" s="116">
        <f>IF(-C125&gt;0,-C125,0)</f>
        <v>1333.26</v>
      </c>
      <c r="R125" s="116">
        <f>IF(C125&gt;0,0,0)</f>
        <v>0</v>
      </c>
    </row>
    <row r="126" spans="1:18" s="386" customFormat="1" ht="16" thickBot="1">
      <c r="A126" s="103">
        <f>A120</f>
        <v>41639</v>
      </c>
      <c r="B126" s="50" t="s">
        <v>56</v>
      </c>
      <c r="C126" s="158">
        <f>SUM(C120:C125,C118)</f>
        <v>-952394.80920998636</v>
      </c>
      <c r="D126" s="158">
        <f>SUM(D120:D125,D118)</f>
        <v>-2356618.4920859914</v>
      </c>
      <c r="E126" s="158">
        <f>SUM(E120:E125,E118)</f>
        <v>1380214.4128760025</v>
      </c>
      <c r="F126" s="158">
        <f>SUM(F120:F125,F118)</f>
        <v>24009.27</v>
      </c>
      <c r="G126" s="158">
        <f t="shared" ref="G126:K126" si="12">SUM(G112:G125)</f>
        <v>0</v>
      </c>
      <c r="H126" s="158">
        <f t="shared" si="12"/>
        <v>0</v>
      </c>
      <c r="I126" s="158">
        <f t="shared" si="12"/>
        <v>0</v>
      </c>
      <c r="J126" s="158">
        <f t="shared" si="12"/>
        <v>0</v>
      </c>
      <c r="K126" s="158">
        <f t="shared" si="12"/>
        <v>0</v>
      </c>
      <c r="L126" s="158">
        <f>SUM(L120:L125,L118)</f>
        <v>0</v>
      </c>
      <c r="M126" s="57"/>
      <c r="N126" s="387"/>
      <c r="O126" s="387"/>
      <c r="P126" s="387"/>
      <c r="Q126" s="66"/>
      <c r="R126" s="340">
        <f>ROUND(SUM(Q121:R125),2)</f>
        <v>0</v>
      </c>
    </row>
    <row r="127" spans="1:18" ht="16.5" thickTop="1" thickBot="1">
      <c r="A127" s="144"/>
      <c r="B127" s="9" t="s">
        <v>249</v>
      </c>
      <c r="C127" s="1">
        <f>SUM(D127:L127)</f>
        <v>-1156793.8500000001</v>
      </c>
      <c r="D127" s="386"/>
      <c r="E127" s="386">
        <v>-1111877.48</v>
      </c>
      <c r="F127" s="386">
        <v>-44916.37</v>
      </c>
      <c r="G127" s="161"/>
      <c r="H127" s="161"/>
      <c r="I127" s="161"/>
      <c r="J127" s="390"/>
      <c r="K127" s="161"/>
      <c r="L127" s="161"/>
    </row>
    <row r="128" spans="1:18" ht="16" thickBot="1">
      <c r="B128" s="9" t="s">
        <v>243</v>
      </c>
      <c r="C128" s="476">
        <f>SUM(C126:C127)</f>
        <v>-2109188.6592099862</v>
      </c>
      <c r="D128" s="476">
        <f>SUM(D126:D127)</f>
        <v>-2356618.4920859914</v>
      </c>
      <c r="E128" s="476">
        <f>SUM(E126:E127)</f>
        <v>268336.93287600251</v>
      </c>
      <c r="F128" s="476">
        <f>SUM(F126:F127)</f>
        <v>-20907.100000000002</v>
      </c>
      <c r="G128" s="476"/>
      <c r="H128" s="476"/>
      <c r="I128" s="476"/>
      <c r="J128" s="476"/>
      <c r="K128" s="476"/>
      <c r="L128" s="476">
        <f>SUM(L126:L127)</f>
        <v>0</v>
      </c>
      <c r="O128" s="338" t="s">
        <v>238</v>
      </c>
      <c r="P128" s="93"/>
      <c r="Q128" s="93"/>
      <c r="R128" s="94"/>
    </row>
    <row r="129" spans="2:18">
      <c r="B129" s="9" t="s">
        <v>244</v>
      </c>
      <c r="C129" s="1" t="e">
        <f ca="1">_xll.Get_Balance("201312","YTD","USD","Total","A","","001","191010","GD","WA","DL")</f>
        <v>#NAME?</v>
      </c>
      <c r="D129" s="386"/>
      <c r="E129" s="386"/>
      <c r="F129" s="386"/>
      <c r="G129" s="386"/>
      <c r="H129" s="386"/>
      <c r="I129" s="386"/>
      <c r="J129" s="386"/>
      <c r="K129" s="386"/>
      <c r="L129" s="386"/>
      <c r="O129" s="349" t="s">
        <v>234</v>
      </c>
      <c r="P129" s="341" t="s">
        <v>27</v>
      </c>
      <c r="Q129" s="337">
        <v>0</v>
      </c>
      <c r="R129" s="339">
        <v>0</v>
      </c>
    </row>
    <row r="130" spans="2:18" ht="16" thickBot="1">
      <c r="B130" s="9" t="s">
        <v>245</v>
      </c>
      <c r="C130" s="158" t="e">
        <f ca="1">C128-C129</f>
        <v>#NAME?</v>
      </c>
      <c r="D130" s="386"/>
      <c r="E130" s="386"/>
      <c r="F130" s="386"/>
      <c r="G130" s="386"/>
      <c r="H130" s="386"/>
      <c r="I130" s="386"/>
      <c r="J130" s="386"/>
      <c r="K130" s="386"/>
      <c r="L130" s="386"/>
      <c r="O130" s="336" t="s">
        <v>79</v>
      </c>
      <c r="P130" s="341" t="s">
        <v>17</v>
      </c>
      <c r="Q130" s="337">
        <f>IF((-C123+C134)&gt;0,(-C123+C134),0)</f>
        <v>0</v>
      </c>
      <c r="R130" s="339">
        <v>-4133742.32</v>
      </c>
    </row>
    <row r="131" spans="2:18" ht="16" thickTop="1">
      <c r="D131" s="386"/>
      <c r="E131" s="386"/>
      <c r="F131" s="386"/>
      <c r="G131" s="386"/>
      <c r="H131" s="386"/>
      <c r="I131" s="386"/>
      <c r="J131" s="386"/>
      <c r="K131" s="386"/>
      <c r="L131" s="386"/>
      <c r="O131" s="342" t="s">
        <v>80</v>
      </c>
      <c r="P131" s="341" t="s">
        <v>20</v>
      </c>
      <c r="Q131" s="112">
        <v>4128061.51</v>
      </c>
      <c r="R131" s="339" t="e">
        <f ca="1">IF((C128+C129)&gt;0,(-C128-C129),0)</f>
        <v>#NAME?</v>
      </c>
    </row>
    <row r="132" spans="2:18">
      <c r="D132" s="386"/>
      <c r="E132" s="386"/>
      <c r="F132" s="386"/>
      <c r="G132" s="386"/>
      <c r="H132" s="386"/>
      <c r="I132" s="386"/>
      <c r="J132" s="386"/>
      <c r="K132" s="386"/>
      <c r="L132" s="386"/>
      <c r="O132" s="344" t="s">
        <v>82</v>
      </c>
      <c r="P132" s="341" t="s">
        <v>75</v>
      </c>
      <c r="Q132" s="346">
        <v>0</v>
      </c>
      <c r="R132" s="339">
        <f>IF(C133&gt;0,-C133,0)</f>
        <v>0</v>
      </c>
    </row>
    <row r="133" spans="2:18" ht="16" thickBot="1">
      <c r="O133" s="345" t="s">
        <v>83</v>
      </c>
      <c r="P133" s="343" t="s">
        <v>76</v>
      </c>
      <c r="Q133" s="116">
        <v>5680.81</v>
      </c>
      <c r="R133" s="116">
        <f>IF(C133&gt;0,0,0)</f>
        <v>0</v>
      </c>
    </row>
    <row r="134" spans="2:18">
      <c r="B134" s="386"/>
      <c r="C134" s="386"/>
      <c r="D134" s="386"/>
      <c r="E134" s="386"/>
      <c r="F134" s="386"/>
      <c r="G134" s="386"/>
      <c r="H134" s="386"/>
      <c r="I134" s="386"/>
      <c r="J134" s="386"/>
      <c r="K134" s="386"/>
      <c r="L134" s="386"/>
      <c r="O134" s="387"/>
      <c r="P134" s="387"/>
      <c r="Q134" s="66"/>
      <c r="R134" s="340" t="e">
        <f ca="1">ROUND(SUM(Q129:R133),2)</f>
        <v>#NAME?</v>
      </c>
    </row>
    <row r="135" spans="2:18" ht="16" thickBot="1"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6"/>
    </row>
    <row r="136" spans="2:18" ht="16" thickBot="1">
      <c r="O136" s="338" t="s">
        <v>239</v>
      </c>
      <c r="P136" s="93"/>
      <c r="Q136" s="93"/>
      <c r="R136" s="94"/>
    </row>
    <row r="137" spans="2:18">
      <c r="O137" s="349" t="s">
        <v>234</v>
      </c>
      <c r="P137" s="341" t="s">
        <v>27</v>
      </c>
      <c r="Q137" s="337">
        <v>0</v>
      </c>
      <c r="R137" s="339">
        <v>0</v>
      </c>
    </row>
    <row r="138" spans="2:18">
      <c r="O138" s="336" t="s">
        <v>79</v>
      </c>
      <c r="P138" s="341" t="s">
        <v>17</v>
      </c>
      <c r="Q138" s="337">
        <f>R122-R130</f>
        <v>3214846.242920001</v>
      </c>
      <c r="R138" s="339">
        <v>0</v>
      </c>
    </row>
    <row r="139" spans="2:18">
      <c r="O139" s="342" t="s">
        <v>80</v>
      </c>
      <c r="P139" s="341" t="s">
        <v>20</v>
      </c>
      <c r="Q139" s="112">
        <v>0</v>
      </c>
      <c r="R139" s="339">
        <f>Q123-Q131</f>
        <v>-3210498.6929200008</v>
      </c>
    </row>
    <row r="140" spans="2:18">
      <c r="O140" s="344" t="s">
        <v>82</v>
      </c>
      <c r="P140" s="341" t="s">
        <v>75</v>
      </c>
      <c r="Q140" s="346">
        <v>0</v>
      </c>
      <c r="R140" s="339">
        <f>IF(C141&gt;0,-C141,0)</f>
        <v>0</v>
      </c>
    </row>
    <row r="141" spans="2:18" ht="16" thickBot="1">
      <c r="O141" s="345" t="s">
        <v>83</v>
      </c>
      <c r="P141" s="343" t="s">
        <v>76</v>
      </c>
      <c r="Q141" s="116">
        <f>IF(-C141&gt;0,-C141,0)</f>
        <v>0</v>
      </c>
      <c r="R141" s="116">
        <f>Q125-Q133</f>
        <v>-4347.55</v>
      </c>
    </row>
    <row r="142" spans="2:18">
      <c r="O142" s="387"/>
      <c r="P142" s="387"/>
      <c r="Q142" s="66"/>
      <c r="R142" s="340">
        <f>ROUND(SUM(Q137:R141),2)</f>
        <v>0</v>
      </c>
    </row>
    <row r="1002" spans="3:3">
      <c r="C1002" s="1">
        <v>-2130</v>
      </c>
    </row>
    <row r="1010" spans="3:3">
      <c r="C1010" s="1">
        <f>7004298-2130</f>
        <v>7002168</v>
      </c>
    </row>
  </sheetData>
  <phoneticPr fontId="0" type="noConversion"/>
  <conditionalFormatting sqref="R19 R27 R43 R35 R51 R59 R67 R75 R83 R91 R99 R107 R118 R126">
    <cfRule type="cellIs" dxfId="115" priority="183" stopIfTrue="1" operator="equal">
      <formula>0</formula>
    </cfRule>
    <cfRule type="cellIs" dxfId="114" priority="184" stopIfTrue="1" operator="notEqual">
      <formula>0</formula>
    </cfRule>
  </conditionalFormatting>
  <conditionalFormatting sqref="R134">
    <cfRule type="cellIs" dxfId="113" priority="3" stopIfTrue="1" operator="equal">
      <formula>0</formula>
    </cfRule>
    <cfRule type="cellIs" dxfId="112" priority="4" stopIfTrue="1" operator="notEqual">
      <formula>0</formula>
    </cfRule>
  </conditionalFormatting>
  <conditionalFormatting sqref="R142">
    <cfRule type="cellIs" dxfId="111" priority="1" stopIfTrue="1" operator="equal">
      <formula>0</formula>
    </cfRule>
    <cfRule type="cellIs" dxfId="110" priority="2" stopIfTrue="1" operator="notEqual">
      <formula>0</formula>
    </cfRule>
  </conditionalFormatting>
  <printOptions gridLinesSet="0"/>
  <pageMargins left="0.18" right="0.18" top="0.5" bottom="0.55000000000000004" header="0.5" footer="0.5"/>
  <pageSetup scale="24" orientation="landscape" horizontalDpi="300" verticalDpi="300" r:id="rId1"/>
  <headerFooter alignWithMargins="0">
    <oddFooter>&amp;L&amp;F&amp;C&amp;A&amp;R&amp;D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FFFF00"/>
    <pageSetUpPr fitToPage="1"/>
  </sheetPr>
  <dimension ref="A1:U1066"/>
  <sheetViews>
    <sheetView showGridLines="0" view="pageBreakPreview" zoomScaleNormal="100" zoomScaleSheetLayoutView="100" workbookViewId="0">
      <pane ySplit="7" topLeftCell="A126" activePane="bottomLeft" state="frozen"/>
      <selection activeCell="G51" sqref="G51:J55"/>
      <selection pane="bottomLeft" activeCell="A51" sqref="A51"/>
    </sheetView>
  </sheetViews>
  <sheetFormatPr defaultColWidth="9.69921875" defaultRowHeight="15.5"/>
  <cols>
    <col min="1" max="1" width="11.3984375" style="53" customWidth="1"/>
    <col min="2" max="2" width="40.09765625" style="1" bestFit="1" customWidth="1"/>
    <col min="3" max="3" width="18.3984375" style="1" customWidth="1"/>
    <col min="4" max="4" width="19.09765625" style="1" bestFit="1" customWidth="1"/>
    <col min="5" max="5" width="19.3984375" style="1" bestFit="1" customWidth="1"/>
    <col min="6" max="7" width="13.09765625" style="1" customWidth="1"/>
    <col min="8" max="8" width="16.69921875" style="1" bestFit="1" customWidth="1"/>
    <col min="9" max="9" width="14.3984375" style="1" hidden="1" customWidth="1"/>
    <col min="10" max="10" width="13.296875" style="1" hidden="1" customWidth="1"/>
    <col min="11" max="11" width="15.09765625" style="1" hidden="1" customWidth="1"/>
    <col min="12" max="12" width="18.09765625" style="1" hidden="1" customWidth="1"/>
    <col min="13" max="13" width="15.69921875" style="1" bestFit="1" customWidth="1"/>
    <col min="14" max="14" width="12.59765625" style="1" customWidth="1"/>
    <col min="15" max="15" width="11.296875" style="1" customWidth="1"/>
    <col min="16" max="16" width="2.296875" style="1" customWidth="1"/>
    <col min="17" max="17" width="26.8984375" style="1" customWidth="1"/>
    <col min="18" max="18" width="16.3984375" style="1" customWidth="1"/>
    <col min="19" max="19" width="17" style="1" customWidth="1"/>
    <col min="20" max="20" width="22.59765625" style="1" customWidth="1"/>
    <col min="21" max="16384" width="9.69921875" style="1"/>
  </cols>
  <sheetData>
    <row r="1" spans="1:21">
      <c r="A1" s="51" t="s">
        <v>13</v>
      </c>
      <c r="M1" s="41"/>
    </row>
    <row r="2" spans="1:21">
      <c r="A2" s="51" t="s">
        <v>46</v>
      </c>
    </row>
    <row r="3" spans="1:21">
      <c r="A3" s="51" t="s">
        <v>47</v>
      </c>
    </row>
    <row r="4" spans="1:21">
      <c r="A4" s="51" t="s">
        <v>104</v>
      </c>
    </row>
    <row r="5" spans="1:21">
      <c r="Q5" s="267"/>
      <c r="R5" s="5"/>
      <c r="S5" s="5"/>
      <c r="T5" s="5"/>
    </row>
    <row r="6" spans="1:21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1" s="55" customFormat="1" ht="15.75" customHeight="1">
      <c r="A7" s="54"/>
      <c r="C7" s="55" t="s">
        <v>16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1" s="333" customFormat="1" ht="16" thickBot="1">
      <c r="A8" s="104">
        <v>41153</v>
      </c>
      <c r="B8" s="50" t="s">
        <v>56</v>
      </c>
      <c r="C8" s="158">
        <v>-3561203.4705467741</v>
      </c>
      <c r="D8" s="158">
        <v>-3313366.0104997735</v>
      </c>
      <c r="E8" s="158">
        <v>-222352.0300469994</v>
      </c>
      <c r="F8" s="158">
        <v>0</v>
      </c>
      <c r="G8" s="158">
        <v>0</v>
      </c>
      <c r="H8" s="158">
        <v>-25485.43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50"/>
      <c r="P8" s="50"/>
      <c r="Q8" s="386"/>
      <c r="R8" s="386"/>
      <c r="S8" s="386"/>
      <c r="T8" s="386"/>
      <c r="U8" s="386"/>
    </row>
    <row r="9" spans="1:21" ht="16" thickTop="1">
      <c r="S9" s="386"/>
      <c r="T9" s="386"/>
      <c r="U9" s="386"/>
    </row>
    <row r="10" spans="1:21" s="203" customFormat="1">
      <c r="A10" s="258"/>
      <c r="B10" s="161" t="s">
        <v>207</v>
      </c>
      <c r="C10" s="222">
        <v>1550000</v>
      </c>
      <c r="D10" s="222">
        <f>887740.8-((887740.8/1550000)*H10)</f>
        <v>883736.20005990437</v>
      </c>
      <c r="E10" s="222">
        <f>662259.2-((662259.2/1550000)*H10)</f>
        <v>659271.7478600872</v>
      </c>
      <c r="F10" s="222"/>
      <c r="G10" s="222"/>
      <c r="H10" s="222">
        <f>16564.81*(C10/(C10+C11))</f>
        <v>6992.0520800084523</v>
      </c>
      <c r="I10" s="222"/>
      <c r="J10" s="222"/>
      <c r="K10" s="222"/>
      <c r="L10" s="222"/>
      <c r="M10" s="222"/>
      <c r="N10" s="222"/>
      <c r="T10" s="259"/>
    </row>
    <row r="11" spans="1:21" s="203" customFormat="1">
      <c r="A11" s="258"/>
      <c r="B11" s="161" t="s">
        <v>208</v>
      </c>
      <c r="C11" s="222">
        <v>2122091.5699999998</v>
      </c>
      <c r="D11" s="222">
        <f>1215398.23-((1215398.23/2122091.57)*H11)</f>
        <v>1209915.5669534774</v>
      </c>
      <c r="E11" s="222">
        <f>906693.34-((906693.34/2122091.57)*H11)</f>
        <v>902603.24512653111</v>
      </c>
      <c r="F11" s="222"/>
      <c r="G11" s="222"/>
      <c r="H11" s="390">
        <f>16564.81*(C11/(C10+C11))</f>
        <v>9572.757919991549</v>
      </c>
      <c r="I11" s="222"/>
      <c r="J11" s="222"/>
      <c r="K11" s="222"/>
      <c r="L11" s="222"/>
      <c r="M11" s="222"/>
      <c r="N11" s="222"/>
      <c r="T11" s="259"/>
    </row>
    <row r="12" spans="1:21" s="203" customFormat="1" ht="16" thickBot="1">
      <c r="A12" s="258"/>
      <c r="B12" s="161" t="s">
        <v>206</v>
      </c>
      <c r="C12" s="392">
        <f t="shared" ref="C12:H12" si="0">SUM(C8:C11)</f>
        <v>110888.09945322573</v>
      </c>
      <c r="D12" s="260">
        <f t="shared" si="0"/>
        <v>-1219714.2434863918</v>
      </c>
      <c r="E12" s="392">
        <f t="shared" si="0"/>
        <v>1339522.9629396189</v>
      </c>
      <c r="F12" s="392">
        <f t="shared" si="0"/>
        <v>0</v>
      </c>
      <c r="G12" s="392">
        <f t="shared" si="0"/>
        <v>0</v>
      </c>
      <c r="H12" s="392">
        <f t="shared" si="0"/>
        <v>-8920.619999999999</v>
      </c>
      <c r="I12" s="260">
        <v>0</v>
      </c>
      <c r="J12" s="260">
        <v>0</v>
      </c>
      <c r="K12" s="260">
        <v>0</v>
      </c>
      <c r="L12" s="260">
        <v>0</v>
      </c>
      <c r="M12" s="392">
        <f>SUM(M8:M11)</f>
        <v>0</v>
      </c>
      <c r="N12" s="392">
        <f>SUM(N8:N11)</f>
        <v>0</v>
      </c>
      <c r="T12" s="259"/>
    </row>
    <row r="13" spans="1:21" s="333" customFormat="1" ht="16" thickTop="1">
      <c r="A13" s="53"/>
      <c r="T13" s="386"/>
    </row>
    <row r="14" spans="1:21" s="333" customFormat="1" ht="16" thickBot="1">
      <c r="A14" s="53"/>
      <c r="T14" s="386"/>
    </row>
    <row r="15" spans="1:21" s="333" customFormat="1" ht="16" thickBot="1">
      <c r="A15" s="58"/>
      <c r="Q15" s="338" t="s">
        <v>107</v>
      </c>
      <c r="R15" s="334"/>
      <c r="S15" s="334"/>
      <c r="T15" s="229"/>
    </row>
    <row r="16" spans="1:21" s="333" customFormat="1">
      <c r="A16" s="58">
        <v>41213</v>
      </c>
      <c r="B16" s="59" t="s">
        <v>84</v>
      </c>
      <c r="C16" s="50">
        <f>SUM(D16:N16)</f>
        <v>114978.85263290035</v>
      </c>
      <c r="D16" s="243">
        <v>-28954.004801100353</v>
      </c>
      <c r="E16" s="243">
        <v>143932.8574340007</v>
      </c>
      <c r="F16" s="244">
        <v>0</v>
      </c>
      <c r="G16" s="244">
        <v>0</v>
      </c>
      <c r="H16" s="50">
        <v>0</v>
      </c>
      <c r="I16" s="50"/>
      <c r="J16" s="50"/>
      <c r="K16" s="50"/>
      <c r="L16" s="50"/>
      <c r="M16" s="50"/>
      <c r="N16" s="50">
        <v>0</v>
      </c>
      <c r="O16" s="106"/>
      <c r="P16" s="50"/>
      <c r="Q16" s="347" t="s">
        <v>81</v>
      </c>
      <c r="R16" s="348" t="s">
        <v>58</v>
      </c>
      <c r="S16" s="112">
        <f>C10+C11+C16+C19+C17</f>
        <v>3781223.9826329001</v>
      </c>
      <c r="T16" s="117">
        <f>IF((-C12+C20)&lt;0,(-C8+C20),0)</f>
        <v>0</v>
      </c>
    </row>
    <row r="17" spans="1:20" s="333" customFormat="1">
      <c r="A17" s="62"/>
      <c r="B17" s="59" t="s">
        <v>148</v>
      </c>
      <c r="C17" s="50">
        <f>SUM(D17:N17)</f>
        <v>-5986.75</v>
      </c>
      <c r="D17" s="244">
        <v>-5986.75</v>
      </c>
      <c r="E17" s="244">
        <v>0</v>
      </c>
      <c r="F17" s="244"/>
      <c r="G17" s="245"/>
      <c r="H17" s="60"/>
      <c r="I17" s="50"/>
      <c r="J17" s="87"/>
      <c r="K17" s="87"/>
      <c r="L17" s="50"/>
      <c r="M17" s="50"/>
      <c r="N17" s="50"/>
      <c r="O17" s="106"/>
      <c r="P17" s="50"/>
      <c r="Q17" s="349" t="s">
        <v>11</v>
      </c>
      <c r="R17" s="350" t="s">
        <v>62</v>
      </c>
      <c r="S17" s="112">
        <v>0</v>
      </c>
      <c r="T17" s="228">
        <f>-C11</f>
        <v>-2122091.5699999998</v>
      </c>
    </row>
    <row r="18" spans="1:20" s="333" customFormat="1">
      <c r="A18" s="62"/>
      <c r="B18" s="59" t="s">
        <v>144</v>
      </c>
      <c r="C18" s="50">
        <f>SUM(D18:N18)</f>
        <v>0</v>
      </c>
      <c r="D18" s="161">
        <v>0</v>
      </c>
      <c r="E18" s="161"/>
      <c r="F18" s="161"/>
      <c r="G18" s="244">
        <v>0</v>
      </c>
      <c r="H18" s="105"/>
      <c r="I18" s="50"/>
      <c r="J18" s="87"/>
      <c r="K18" s="50"/>
      <c r="L18" s="50"/>
      <c r="M18" s="50"/>
      <c r="N18" s="50"/>
      <c r="O18" s="106"/>
      <c r="P18" s="50"/>
      <c r="Q18" s="349" t="s">
        <v>11</v>
      </c>
      <c r="R18" s="350" t="s">
        <v>209</v>
      </c>
      <c r="S18" s="112">
        <v>0</v>
      </c>
      <c r="T18" s="228">
        <f>-C10</f>
        <v>-1550000</v>
      </c>
    </row>
    <row r="19" spans="1:20" s="333" customFormat="1">
      <c r="A19" s="62"/>
      <c r="B19" s="59" t="s">
        <v>57</v>
      </c>
      <c r="C19" s="64">
        <f>SUM(D19:N19)</f>
        <v>140.31</v>
      </c>
      <c r="D19" s="64"/>
      <c r="E19" s="64"/>
      <c r="F19" s="64"/>
      <c r="G19" s="64"/>
      <c r="H19" s="64">
        <v>140.31</v>
      </c>
      <c r="I19" s="64"/>
      <c r="J19" s="64"/>
      <c r="K19" s="64"/>
      <c r="L19" s="64"/>
      <c r="M19" s="64"/>
      <c r="N19" s="64"/>
      <c r="O19" s="99">
        <v>0.01</v>
      </c>
      <c r="P19" s="50"/>
      <c r="Q19" s="342" t="s">
        <v>80</v>
      </c>
      <c r="R19" s="341" t="s">
        <v>59</v>
      </c>
      <c r="S19" s="88">
        <f>IF((-C16-C17-C18)&gt;0,(-C16-C17-C18),0)</f>
        <v>0</v>
      </c>
      <c r="T19" s="89">
        <f>IF((-C16-C17-C18)&lt;0,(-C16-C17-C18),0)</f>
        <v>-108992.10263290035</v>
      </c>
    </row>
    <row r="20" spans="1:20" s="333" customFormat="1" ht="16" thickBot="1">
      <c r="A20" s="104">
        <f>A16</f>
        <v>41213</v>
      </c>
      <c r="B20" s="50" t="s">
        <v>56</v>
      </c>
      <c r="C20" s="158">
        <f>SUM(C12:C19)</f>
        <v>220020.51208612608</v>
      </c>
      <c r="D20" s="158">
        <f>SUM(D12:D19)</f>
        <v>-1254654.9982874922</v>
      </c>
      <c r="E20" s="158">
        <f>SUM(E12:E19)</f>
        <v>1483455.8203736194</v>
      </c>
      <c r="F20" s="158">
        <f t="shared" ref="F20:G20" si="1">SUM(F12:F19)</f>
        <v>0</v>
      </c>
      <c r="G20" s="158">
        <f t="shared" si="1"/>
        <v>0</v>
      </c>
      <c r="H20" s="158">
        <f>SUM(H12:H19)</f>
        <v>-8780.31</v>
      </c>
      <c r="I20" s="158">
        <f>SUM(I8:I19)</f>
        <v>0</v>
      </c>
      <c r="J20" s="158">
        <f>SUM(J8:J19)</f>
        <v>0</v>
      </c>
      <c r="K20" s="158">
        <f>SUM(K8:K19)</f>
        <v>0</v>
      </c>
      <c r="L20" s="158">
        <f>SUM(L8:L19)</f>
        <v>0</v>
      </c>
      <c r="M20" s="158">
        <f>SUM(M12:M19)</f>
        <v>0</v>
      </c>
      <c r="N20" s="158">
        <f>SUM(N12:N19)</f>
        <v>0</v>
      </c>
      <c r="O20" s="50"/>
      <c r="P20" s="50"/>
      <c r="Q20" s="344" t="s">
        <v>154</v>
      </c>
      <c r="R20" s="341" t="s">
        <v>77</v>
      </c>
      <c r="S20" s="88">
        <f>IF(C19&lt;0,C19,0)</f>
        <v>0</v>
      </c>
      <c r="T20" s="89">
        <f>IF(-C19&lt;0,-C19,0)</f>
        <v>-140.31</v>
      </c>
    </row>
    <row r="21" spans="1:20" s="333" customFormat="1" ht="16.5" thickTop="1" thickBot="1">
      <c r="A21" s="53"/>
      <c r="Q21" s="345" t="s">
        <v>83</v>
      </c>
      <c r="R21" s="343" t="s">
        <v>78</v>
      </c>
      <c r="S21" s="118">
        <f>IF(-C19&gt;0,-C19,0)</f>
        <v>0</v>
      </c>
      <c r="T21" s="111"/>
    </row>
    <row r="22" spans="1:20">
      <c r="Q22" s="333"/>
      <c r="R22" s="333"/>
      <c r="S22" s="333"/>
      <c r="T22" s="340">
        <f>ROUND(SUM(S16:T21),2)</f>
        <v>0</v>
      </c>
    </row>
    <row r="23" spans="1:20" ht="16" thickBot="1"/>
    <row r="24" spans="1:20" s="386" customFormat="1" ht="16" thickBot="1">
      <c r="A24" s="58"/>
      <c r="Q24" s="338" t="s">
        <v>218</v>
      </c>
      <c r="R24" s="334"/>
      <c r="S24" s="334"/>
      <c r="T24" s="229"/>
    </row>
    <row r="25" spans="1:20" s="386" customFormat="1">
      <c r="A25" s="58">
        <v>41243</v>
      </c>
      <c r="B25" s="59" t="s">
        <v>84</v>
      </c>
      <c r="C25" s="50">
        <f>SUM(D25:N25)</f>
        <v>873005.70846981579</v>
      </c>
      <c r="D25" s="243">
        <v>893965.62064781552</v>
      </c>
      <c r="E25" s="243">
        <v>-20959.912177999737</v>
      </c>
      <c r="F25" s="244">
        <v>0</v>
      </c>
      <c r="G25" s="244">
        <v>0</v>
      </c>
      <c r="H25" s="50">
        <v>0</v>
      </c>
      <c r="I25" s="50"/>
      <c r="J25" s="50"/>
      <c r="K25" s="50"/>
      <c r="L25" s="50"/>
      <c r="M25" s="50"/>
      <c r="N25" s="50">
        <v>0</v>
      </c>
      <c r="O25" s="106"/>
      <c r="P25" s="50"/>
      <c r="Q25" s="347" t="s">
        <v>81</v>
      </c>
      <c r="R25" s="348" t="s">
        <v>58</v>
      </c>
      <c r="S25" s="112">
        <v>873552.80846981588</v>
      </c>
      <c r="T25" s="117">
        <v>0</v>
      </c>
    </row>
    <row r="26" spans="1:20" s="386" customFormat="1">
      <c r="A26" s="62"/>
      <c r="B26" s="59" t="s">
        <v>148</v>
      </c>
      <c r="C26" s="50">
        <v>0</v>
      </c>
      <c r="D26" s="244">
        <v>0</v>
      </c>
      <c r="E26" s="244">
        <v>0</v>
      </c>
      <c r="F26" s="244"/>
      <c r="G26" s="245"/>
      <c r="H26" s="60"/>
      <c r="I26" s="50"/>
      <c r="J26" s="87"/>
      <c r="K26" s="87"/>
      <c r="L26" s="50"/>
      <c r="M26" s="50"/>
      <c r="N26" s="50"/>
      <c r="O26" s="106"/>
      <c r="P26" s="50"/>
      <c r="Q26" s="349" t="s">
        <v>11</v>
      </c>
      <c r="R26" s="350" t="s">
        <v>62</v>
      </c>
      <c r="S26" s="112">
        <v>0</v>
      </c>
      <c r="T26" s="228">
        <v>0</v>
      </c>
    </row>
    <row r="27" spans="1:20" s="386" customFormat="1">
      <c r="A27" s="62"/>
      <c r="B27" s="59" t="s">
        <v>144</v>
      </c>
      <c r="C27" s="50">
        <f>SUM(D27:N27)</f>
        <v>0</v>
      </c>
      <c r="D27" s="161">
        <v>0</v>
      </c>
      <c r="E27" s="161"/>
      <c r="F27" s="161"/>
      <c r="G27" s="244">
        <v>0</v>
      </c>
      <c r="H27" s="105"/>
      <c r="I27" s="50"/>
      <c r="J27" s="87"/>
      <c r="K27" s="50"/>
      <c r="L27" s="50"/>
      <c r="M27" s="50"/>
      <c r="N27" s="50"/>
      <c r="O27" s="106"/>
      <c r="P27" s="50"/>
      <c r="Q27" s="349" t="s">
        <v>11</v>
      </c>
      <c r="R27" s="350" t="s">
        <v>209</v>
      </c>
      <c r="S27" s="112">
        <v>0</v>
      </c>
      <c r="T27" s="228">
        <v>0</v>
      </c>
    </row>
    <row r="28" spans="1:20" s="386" customFormat="1">
      <c r="A28" s="62"/>
      <c r="B28" s="59" t="s">
        <v>57</v>
      </c>
      <c r="C28" s="64">
        <f>SUM(D28:N28)</f>
        <v>547.1</v>
      </c>
      <c r="D28" s="64"/>
      <c r="E28" s="64"/>
      <c r="F28" s="64"/>
      <c r="G28" s="64"/>
      <c r="H28" s="64">
        <v>547.1</v>
      </c>
      <c r="I28" s="64"/>
      <c r="J28" s="64"/>
      <c r="K28" s="64"/>
      <c r="L28" s="64"/>
      <c r="M28" s="64"/>
      <c r="N28" s="64"/>
      <c r="O28" s="99">
        <v>0.01</v>
      </c>
      <c r="P28" s="50"/>
      <c r="Q28" s="342" t="s">
        <v>80</v>
      </c>
      <c r="R28" s="341" t="s">
        <v>59</v>
      </c>
      <c r="S28" s="88">
        <v>0</v>
      </c>
      <c r="T28" s="89">
        <v>-873005.70846981579</v>
      </c>
    </row>
    <row r="29" spans="1:20" s="386" customFormat="1" ht="16" thickBot="1">
      <c r="A29" s="104">
        <f>A25</f>
        <v>41243</v>
      </c>
      <c r="B29" s="50" t="s">
        <v>56</v>
      </c>
      <c r="C29" s="158">
        <f t="shared" ref="C29:H29" si="2">SUM(C20:C28)</f>
        <v>1093573.3205559419</v>
      </c>
      <c r="D29" s="158">
        <f t="shared" si="2"/>
        <v>-360689.37763967668</v>
      </c>
      <c r="E29" s="158">
        <f t="shared" si="2"/>
        <v>1462495.9081956197</v>
      </c>
      <c r="F29" s="158">
        <f t="shared" si="2"/>
        <v>0</v>
      </c>
      <c r="G29" s="158">
        <f t="shared" si="2"/>
        <v>0</v>
      </c>
      <c r="H29" s="158">
        <f t="shared" si="2"/>
        <v>-8233.2099999999991</v>
      </c>
      <c r="I29" s="158">
        <f t="shared" ref="I29:L29" si="3">SUM(I13:I28)</f>
        <v>0</v>
      </c>
      <c r="J29" s="158">
        <f t="shared" si="3"/>
        <v>0</v>
      </c>
      <c r="K29" s="158">
        <f t="shared" si="3"/>
        <v>0</v>
      </c>
      <c r="L29" s="158">
        <f t="shared" si="3"/>
        <v>0</v>
      </c>
      <c r="M29" s="158">
        <f>SUM(M20:M28)</f>
        <v>0</v>
      </c>
      <c r="N29" s="158">
        <f>SUM(N20:N28)</f>
        <v>0</v>
      </c>
      <c r="O29" s="50"/>
      <c r="P29" s="50"/>
      <c r="Q29" s="344" t="s">
        <v>154</v>
      </c>
      <c r="R29" s="341" t="s">
        <v>77</v>
      </c>
      <c r="S29" s="88">
        <v>0</v>
      </c>
      <c r="T29" s="89">
        <v>-547.1</v>
      </c>
    </row>
    <row r="30" spans="1:20" s="386" customFormat="1" ht="16.5" thickTop="1" thickBot="1">
      <c r="A30" s="53"/>
      <c r="Q30" s="345" t="s">
        <v>83</v>
      </c>
      <c r="R30" s="343" t="s">
        <v>78</v>
      </c>
      <c r="S30" s="118">
        <v>0</v>
      </c>
      <c r="T30" s="111"/>
    </row>
    <row r="31" spans="1:20" s="386" customFormat="1">
      <c r="A31" s="53"/>
      <c r="T31" s="340">
        <f>ROUND(SUM(S25:T30),2)</f>
        <v>0</v>
      </c>
    </row>
    <row r="32" spans="1:20" ht="16" thickBot="1">
      <c r="A32" s="717" t="s">
        <v>215</v>
      </c>
      <c r="B32" s="717"/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7"/>
      <c r="N32" s="717"/>
      <c r="O32" s="717"/>
      <c r="P32" s="203"/>
      <c r="Q32" s="203"/>
      <c r="R32" s="203"/>
      <c r="S32" s="203"/>
      <c r="T32" s="203"/>
    </row>
    <row r="33" spans="1:20" ht="16" thickBot="1">
      <c r="A33" s="258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420" t="s">
        <v>219</v>
      </c>
      <c r="R33" s="404"/>
      <c r="S33" s="404"/>
      <c r="T33" s="421"/>
    </row>
    <row r="34" spans="1:20">
      <c r="A34" s="422">
        <v>41243</v>
      </c>
      <c r="B34" s="423" t="s">
        <v>84</v>
      </c>
      <c r="C34" s="161">
        <f>SUM(D34:N34)</f>
        <v>700985.36846981547</v>
      </c>
      <c r="D34" s="243">
        <v>760588.19064781535</v>
      </c>
      <c r="E34" s="243">
        <v>-59602.822177999886</v>
      </c>
      <c r="F34" s="244">
        <v>0</v>
      </c>
      <c r="G34" s="244">
        <v>0</v>
      </c>
      <c r="H34" s="161">
        <v>0</v>
      </c>
      <c r="I34" s="161"/>
      <c r="J34" s="161"/>
      <c r="K34" s="161"/>
      <c r="L34" s="161"/>
      <c r="M34" s="161"/>
      <c r="N34" s="161">
        <v>0</v>
      </c>
      <c r="O34" s="424"/>
      <c r="P34" s="203"/>
      <c r="Q34" s="425" t="s">
        <v>81</v>
      </c>
      <c r="R34" s="426" t="s">
        <v>58</v>
      </c>
      <c r="S34" s="427">
        <v>0</v>
      </c>
      <c r="T34" s="428">
        <f>C34+C37-S25</f>
        <v>-172092.01000000036</v>
      </c>
    </row>
    <row r="35" spans="1:20">
      <c r="A35" s="429"/>
      <c r="B35" s="423" t="s">
        <v>148</v>
      </c>
      <c r="C35" s="161">
        <v>0</v>
      </c>
      <c r="D35" s="244">
        <v>0</v>
      </c>
      <c r="E35" s="244">
        <v>0</v>
      </c>
      <c r="F35" s="244"/>
      <c r="G35" s="245"/>
      <c r="H35" s="244"/>
      <c r="I35" s="161"/>
      <c r="J35" s="245"/>
      <c r="K35" s="245"/>
      <c r="L35" s="161"/>
      <c r="M35" s="161"/>
      <c r="N35" s="161"/>
      <c r="O35" s="424"/>
      <c r="P35" s="203"/>
      <c r="Q35" s="430" t="s">
        <v>11</v>
      </c>
      <c r="R35" s="431" t="s">
        <v>62</v>
      </c>
      <c r="S35" s="427">
        <v>0</v>
      </c>
      <c r="T35" s="432">
        <v>0</v>
      </c>
    </row>
    <row r="36" spans="1:20">
      <c r="A36" s="429"/>
      <c r="B36" s="423" t="s">
        <v>144</v>
      </c>
      <c r="C36" s="161">
        <f>SUM(D36:N36)</f>
        <v>0</v>
      </c>
      <c r="D36" s="161">
        <v>0</v>
      </c>
      <c r="E36" s="161"/>
      <c r="F36" s="161"/>
      <c r="G36" s="244">
        <v>0</v>
      </c>
      <c r="H36" s="433"/>
      <c r="I36" s="161"/>
      <c r="J36" s="245"/>
      <c r="K36" s="161"/>
      <c r="L36" s="161"/>
      <c r="M36" s="161"/>
      <c r="N36" s="161"/>
      <c r="O36" s="424"/>
      <c r="P36" s="203"/>
      <c r="Q36" s="430" t="s">
        <v>11</v>
      </c>
      <c r="R36" s="431" t="s">
        <v>209</v>
      </c>
      <c r="S36" s="427">
        <v>0</v>
      </c>
      <c r="T36" s="432">
        <v>0</v>
      </c>
    </row>
    <row r="37" spans="1:20">
      <c r="A37" s="429"/>
      <c r="B37" s="423" t="s">
        <v>57</v>
      </c>
      <c r="C37" s="204">
        <f>SUM(D37:N37)</f>
        <v>475.43</v>
      </c>
      <c r="D37" s="204"/>
      <c r="E37" s="204"/>
      <c r="F37" s="204"/>
      <c r="G37" s="204"/>
      <c r="H37" s="204">
        <v>475.43</v>
      </c>
      <c r="I37" s="204"/>
      <c r="J37" s="204"/>
      <c r="K37" s="204"/>
      <c r="L37" s="204"/>
      <c r="M37" s="204"/>
      <c r="N37" s="204"/>
      <c r="O37" s="434">
        <v>0.01</v>
      </c>
      <c r="P37" s="203"/>
      <c r="Q37" s="435" t="s">
        <v>80</v>
      </c>
      <c r="R37" s="436" t="s">
        <v>59</v>
      </c>
      <c r="S37" s="437">
        <f>-T28-C34</f>
        <v>172020.34000000032</v>
      </c>
      <c r="T37" s="438">
        <v>0</v>
      </c>
    </row>
    <row r="38" spans="1:20" ht="16" thickBot="1">
      <c r="A38" s="439">
        <f>A34</f>
        <v>41243</v>
      </c>
      <c r="B38" s="161" t="s">
        <v>56</v>
      </c>
      <c r="C38" s="392">
        <f t="shared" ref="C38:H38" si="4">SUM(C34:C37,C20)</f>
        <v>921481.31055594166</v>
      </c>
      <c r="D38" s="392">
        <f t="shared" si="4"/>
        <v>-494066.80763967684</v>
      </c>
      <c r="E38" s="392">
        <f t="shared" si="4"/>
        <v>1423852.9981956196</v>
      </c>
      <c r="F38" s="392">
        <f t="shared" si="4"/>
        <v>0</v>
      </c>
      <c r="G38" s="392">
        <f t="shared" si="4"/>
        <v>0</v>
      </c>
      <c r="H38" s="392">
        <f t="shared" si="4"/>
        <v>-8304.8799999999992</v>
      </c>
      <c r="I38" s="392">
        <f t="shared" ref="I38:L38" si="5">SUM(I29:I37)</f>
        <v>0</v>
      </c>
      <c r="J38" s="392">
        <f t="shared" si="5"/>
        <v>0</v>
      </c>
      <c r="K38" s="392">
        <f t="shared" si="5"/>
        <v>0</v>
      </c>
      <c r="L38" s="392">
        <f t="shared" si="5"/>
        <v>0</v>
      </c>
      <c r="M38" s="392">
        <f>SUM(M32:M37)</f>
        <v>0</v>
      </c>
      <c r="N38" s="392">
        <f>SUM(N32:N37)</f>
        <v>0</v>
      </c>
      <c r="O38" s="161"/>
      <c r="P38" s="203"/>
      <c r="Q38" s="440" t="s">
        <v>154</v>
      </c>
      <c r="R38" s="436" t="s">
        <v>77</v>
      </c>
      <c r="S38" s="437">
        <f>C28-C37</f>
        <v>71.670000000000016</v>
      </c>
      <c r="T38" s="438">
        <v>0</v>
      </c>
    </row>
    <row r="39" spans="1:20" ht="16.5" thickTop="1" thickBot="1">
      <c r="A39" s="258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441" t="s">
        <v>83</v>
      </c>
      <c r="R39" s="442" t="s">
        <v>78</v>
      </c>
      <c r="S39" s="443">
        <v>0</v>
      </c>
      <c r="T39" s="444">
        <v>0</v>
      </c>
    </row>
    <row r="40" spans="1:20">
      <c r="A40" s="258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340">
        <f>ROUND(SUM(S34:T39),2)</f>
        <v>0</v>
      </c>
    </row>
    <row r="41" spans="1:20" s="386" customFormat="1" ht="16" thickBot="1">
      <c r="A41" s="53"/>
    </row>
    <row r="42" spans="1:20" s="386" customFormat="1" ht="16" thickBot="1">
      <c r="A42" s="58"/>
      <c r="Q42" s="338" t="s">
        <v>107</v>
      </c>
      <c r="R42" s="334"/>
      <c r="S42" s="334"/>
      <c r="T42" s="229"/>
    </row>
    <row r="43" spans="1:20" s="386" customFormat="1">
      <c r="A43" s="58">
        <v>41274</v>
      </c>
      <c r="B43" s="59" t="s">
        <v>84</v>
      </c>
      <c r="C43" s="50">
        <f>SUM(D43:N43)</f>
        <v>134368.12753900047</v>
      </c>
      <c r="D43" s="243">
        <v>505847.59770200029</v>
      </c>
      <c r="E43" s="243">
        <v>-371479.47016299982</v>
      </c>
      <c r="F43" s="244">
        <v>0</v>
      </c>
      <c r="G43" s="244">
        <v>0</v>
      </c>
      <c r="H43" s="50">
        <v>0</v>
      </c>
      <c r="I43" s="50"/>
      <c r="J43" s="50"/>
      <c r="K43" s="50"/>
      <c r="L43" s="50"/>
      <c r="M43" s="50"/>
      <c r="N43" s="50">
        <v>0</v>
      </c>
      <c r="O43" s="106"/>
      <c r="P43" s="50"/>
      <c r="Q43" s="347" t="s">
        <v>81</v>
      </c>
      <c r="R43" s="348" t="s">
        <v>58</v>
      </c>
      <c r="S43" s="112">
        <f>IF((-C38+C47)&gt;0,(-C38+C47),0)</f>
        <v>135192.01753900037</v>
      </c>
      <c r="T43" s="117">
        <f>IF((-C38+C47)&lt;0,(-C38+C47),0)</f>
        <v>0</v>
      </c>
    </row>
    <row r="44" spans="1:20" s="386" customFormat="1">
      <c r="A44" s="62"/>
      <c r="B44" s="59" t="s">
        <v>148</v>
      </c>
      <c r="C44" s="50">
        <v>0</v>
      </c>
      <c r="D44" s="244">
        <v>0</v>
      </c>
      <c r="E44" s="244">
        <v>0</v>
      </c>
      <c r="F44" s="244"/>
      <c r="G44" s="245"/>
      <c r="H44" s="60"/>
      <c r="I44" s="50"/>
      <c r="J44" s="87"/>
      <c r="K44" s="87"/>
      <c r="L44" s="50"/>
      <c r="M44" s="50"/>
      <c r="N44" s="50"/>
      <c r="O44" s="106"/>
      <c r="P44" s="50"/>
      <c r="Q44" s="349" t="s">
        <v>11</v>
      </c>
      <c r="R44" s="350" t="s">
        <v>62</v>
      </c>
      <c r="S44" s="112">
        <v>0</v>
      </c>
      <c r="T44" s="228">
        <v>0</v>
      </c>
    </row>
    <row r="45" spans="1:20" s="386" customFormat="1">
      <c r="A45" s="62"/>
      <c r="B45" s="59" t="s">
        <v>144</v>
      </c>
      <c r="C45" s="50">
        <f>SUM(D45:N45)</f>
        <v>0</v>
      </c>
      <c r="D45" s="161">
        <v>0</v>
      </c>
      <c r="E45" s="161"/>
      <c r="F45" s="161"/>
      <c r="G45" s="244">
        <v>0</v>
      </c>
      <c r="H45" s="105"/>
      <c r="I45" s="50"/>
      <c r="J45" s="87"/>
      <c r="K45" s="50"/>
      <c r="L45" s="50"/>
      <c r="M45" s="50"/>
      <c r="N45" s="50"/>
      <c r="O45" s="106"/>
      <c r="P45" s="50"/>
      <c r="Q45" s="349" t="s">
        <v>11</v>
      </c>
      <c r="R45" s="350" t="s">
        <v>209</v>
      </c>
      <c r="S45" s="112">
        <v>0</v>
      </c>
      <c r="T45" s="228">
        <v>0</v>
      </c>
    </row>
    <row r="46" spans="1:20" s="386" customFormat="1">
      <c r="A46" s="62"/>
      <c r="B46" s="59" t="s">
        <v>57</v>
      </c>
      <c r="C46" s="64">
        <f>SUM(D46:N46)</f>
        <v>823.89</v>
      </c>
      <c r="D46" s="64"/>
      <c r="E46" s="64"/>
      <c r="F46" s="64"/>
      <c r="G46" s="64"/>
      <c r="H46" s="64">
        <f>ROUND(((C38)+(C43)/2)*(O46/12),2)</f>
        <v>823.89</v>
      </c>
      <c r="I46" s="64"/>
      <c r="J46" s="64"/>
      <c r="K46" s="64"/>
      <c r="L46" s="64"/>
      <c r="M46" s="64"/>
      <c r="N46" s="64"/>
      <c r="O46" s="99">
        <v>0.01</v>
      </c>
      <c r="P46" s="50"/>
      <c r="Q46" s="342" t="s">
        <v>80</v>
      </c>
      <c r="R46" s="341" t="s">
        <v>59</v>
      </c>
      <c r="S46" s="88">
        <f>IF((-C43-C44-C45)&gt;0,(-C43-C44-C45),0)</f>
        <v>0</v>
      </c>
      <c r="T46" s="89">
        <f>IF((-C43-C44-C45)&lt;0,(-C43-C44-C45),0)</f>
        <v>-134368.12753900047</v>
      </c>
    </row>
    <row r="47" spans="1:20" s="386" customFormat="1" ht="16" thickBot="1">
      <c r="A47" s="104">
        <f>A43</f>
        <v>41274</v>
      </c>
      <c r="B47" s="50" t="s">
        <v>56</v>
      </c>
      <c r="C47" s="158">
        <f>SUM(C38:C46)</f>
        <v>1056673.328094942</v>
      </c>
      <c r="D47" s="158">
        <f>SUM(D38:D46)</f>
        <v>11780.790062323445</v>
      </c>
      <c r="E47" s="158">
        <f>SUM(E38:E46)</f>
        <v>1052373.5280326197</v>
      </c>
      <c r="F47" s="158">
        <f t="shared" ref="F47:G47" si="6">SUM(F38:F46)</f>
        <v>0</v>
      </c>
      <c r="G47" s="158">
        <f t="shared" si="6"/>
        <v>0</v>
      </c>
      <c r="H47" s="158">
        <f>SUM(H38:H46)</f>
        <v>-7480.9899999999989</v>
      </c>
      <c r="I47" s="158">
        <f>SUM(I32:I46)</f>
        <v>0</v>
      </c>
      <c r="J47" s="158">
        <f>SUM(J32:J46)</f>
        <v>0</v>
      </c>
      <c r="K47" s="158">
        <f>SUM(K32:K46)</f>
        <v>0</v>
      </c>
      <c r="L47" s="158">
        <f>SUM(L32:L46)</f>
        <v>0</v>
      </c>
      <c r="M47" s="158">
        <f>SUM(M38:M46)</f>
        <v>0</v>
      </c>
      <c r="N47" s="158">
        <f>SUM(N38:N46)</f>
        <v>0</v>
      </c>
      <c r="O47" s="50"/>
      <c r="P47" s="50"/>
      <c r="Q47" s="344" t="s">
        <v>154</v>
      </c>
      <c r="R47" s="341" t="s">
        <v>77</v>
      </c>
      <c r="S47" s="88">
        <f>IF(C46&lt;0,C46,0)</f>
        <v>0</v>
      </c>
      <c r="T47" s="89">
        <f>IF(-C46&lt;0,-C46,0)</f>
        <v>-823.89</v>
      </c>
    </row>
    <row r="48" spans="1:20" s="386" customFormat="1" ht="16.5" thickTop="1" thickBot="1">
      <c r="A48" s="53"/>
      <c r="Q48" s="345" t="s">
        <v>83</v>
      </c>
      <c r="R48" s="343" t="s">
        <v>78</v>
      </c>
      <c r="S48" s="118">
        <f>IF(-C46&gt;0,-C46,0)</f>
        <v>0</v>
      </c>
      <c r="T48" s="111"/>
    </row>
    <row r="49" spans="1:20" s="386" customFormat="1">
      <c r="A49" s="53"/>
      <c r="T49" s="340">
        <f>ROUND(SUM(S43:T48),2)</f>
        <v>0</v>
      </c>
    </row>
    <row r="50" spans="1:20" ht="16" thickBot="1"/>
    <row r="51" spans="1:20" s="386" customFormat="1" ht="16" thickBot="1">
      <c r="A51" s="58"/>
      <c r="Q51" s="338" t="s">
        <v>107</v>
      </c>
      <c r="R51" s="334"/>
      <c r="S51" s="334"/>
      <c r="T51" s="229"/>
    </row>
    <row r="52" spans="1:20" s="386" customFormat="1">
      <c r="A52" s="58">
        <v>41275</v>
      </c>
      <c r="B52" s="59" t="s">
        <v>84</v>
      </c>
      <c r="C52" s="50">
        <f>SUM(D52:N52)</f>
        <v>-1358486.1640380016</v>
      </c>
      <c r="D52" s="243">
        <v>-794093.61202800181</v>
      </c>
      <c r="E52" s="243">
        <v>-564392.55200999975</v>
      </c>
      <c r="F52" s="244">
        <v>0</v>
      </c>
      <c r="G52" s="244">
        <v>0</v>
      </c>
      <c r="H52" s="50">
        <v>0</v>
      </c>
      <c r="I52" s="50"/>
      <c r="J52" s="50"/>
      <c r="K52" s="50"/>
      <c r="L52" s="50"/>
      <c r="M52" s="50"/>
      <c r="N52" s="50">
        <v>0</v>
      </c>
      <c r="O52" s="106"/>
      <c r="P52" s="50"/>
      <c r="Q52" s="347" t="s">
        <v>81</v>
      </c>
      <c r="R52" s="348" t="s">
        <v>58</v>
      </c>
      <c r="S52" s="112">
        <f>IF((-C47+C56)&gt;0,(-C47+C56),0)</f>
        <v>0</v>
      </c>
      <c r="T52" s="117">
        <f>IF((-C47+C56)&lt;0,(-C47+C56),0)</f>
        <v>-1358171.6340380015</v>
      </c>
    </row>
    <row r="53" spans="1:20" s="386" customFormat="1">
      <c r="A53" s="62"/>
      <c r="B53" s="59" t="s">
        <v>148</v>
      </c>
      <c r="C53" s="50">
        <v>0</v>
      </c>
      <c r="D53" s="244">
        <v>0</v>
      </c>
      <c r="E53" s="244">
        <v>0</v>
      </c>
      <c r="F53" s="244"/>
      <c r="G53" s="245"/>
      <c r="H53" s="60"/>
      <c r="I53" s="50"/>
      <c r="J53" s="87"/>
      <c r="K53" s="87"/>
      <c r="L53" s="50"/>
      <c r="M53" s="50"/>
      <c r="N53" s="50"/>
      <c r="O53" s="106"/>
      <c r="P53" s="50"/>
      <c r="Q53" s="349" t="s">
        <v>11</v>
      </c>
      <c r="R53" s="350" t="s">
        <v>62</v>
      </c>
      <c r="S53" s="112">
        <v>0</v>
      </c>
      <c r="T53" s="228">
        <v>0</v>
      </c>
    </row>
    <row r="54" spans="1:20" s="386" customFormat="1">
      <c r="A54" s="62"/>
      <c r="B54" s="59" t="s">
        <v>144</v>
      </c>
      <c r="C54" s="50">
        <f>SUM(D54:N54)</f>
        <v>0</v>
      </c>
      <c r="D54" s="161">
        <v>0</v>
      </c>
      <c r="E54" s="161"/>
      <c r="F54" s="161"/>
      <c r="G54" s="244">
        <v>0</v>
      </c>
      <c r="H54" s="105"/>
      <c r="I54" s="50"/>
      <c r="J54" s="87"/>
      <c r="K54" s="50"/>
      <c r="L54" s="50"/>
      <c r="M54" s="50"/>
      <c r="N54" s="50"/>
      <c r="O54" s="106"/>
      <c r="P54" s="50"/>
      <c r="Q54" s="349" t="s">
        <v>11</v>
      </c>
      <c r="R54" s="350" t="s">
        <v>209</v>
      </c>
      <c r="S54" s="112">
        <v>0</v>
      </c>
      <c r="T54" s="228">
        <v>0</v>
      </c>
    </row>
    <row r="55" spans="1:20" s="386" customFormat="1">
      <c r="A55" s="62"/>
      <c r="B55" s="59" t="s">
        <v>57</v>
      </c>
      <c r="C55" s="64">
        <f>SUM(D55:N55)</f>
        <v>314.52999999999997</v>
      </c>
      <c r="D55" s="64"/>
      <c r="E55" s="64"/>
      <c r="F55" s="64"/>
      <c r="G55" s="64"/>
      <c r="H55" s="64">
        <f>ROUND(((C47)+(C52)/2)*(O55/12),2)</f>
        <v>314.52999999999997</v>
      </c>
      <c r="I55" s="64"/>
      <c r="J55" s="64"/>
      <c r="K55" s="64"/>
      <c r="L55" s="64"/>
      <c r="M55" s="64"/>
      <c r="N55" s="64"/>
      <c r="O55" s="99">
        <v>0.01</v>
      </c>
      <c r="P55" s="50"/>
      <c r="Q55" s="342" t="s">
        <v>80</v>
      </c>
      <c r="R55" s="341" t="s">
        <v>59</v>
      </c>
      <c r="S55" s="88">
        <f>IF((-C52-C53-C54)&gt;0,(-C52-C53-C54),0)</f>
        <v>1358486.1640380016</v>
      </c>
      <c r="T55" s="89">
        <f>IF((-C52-C53-C54)&lt;0,(-C52-C53-C54),0)</f>
        <v>0</v>
      </c>
    </row>
    <row r="56" spans="1:20" s="386" customFormat="1" ht="16" thickBot="1">
      <c r="A56" s="104">
        <f>A52</f>
        <v>41275</v>
      </c>
      <c r="B56" s="50" t="s">
        <v>56</v>
      </c>
      <c r="C56" s="158">
        <f t="shared" ref="C56:H56" si="7">SUM(C47:C55)</f>
        <v>-301498.3059430595</v>
      </c>
      <c r="D56" s="158">
        <f t="shared" si="7"/>
        <v>-782312.82196567836</v>
      </c>
      <c r="E56" s="158">
        <f t="shared" si="7"/>
        <v>487980.97602261999</v>
      </c>
      <c r="F56" s="158">
        <f t="shared" si="7"/>
        <v>0</v>
      </c>
      <c r="G56" s="158">
        <f t="shared" si="7"/>
        <v>0</v>
      </c>
      <c r="H56" s="158">
        <f t="shared" si="7"/>
        <v>-7166.4599999999991</v>
      </c>
      <c r="I56" s="158">
        <f>SUM(I41:I55)</f>
        <v>0</v>
      </c>
      <c r="J56" s="158">
        <f>SUM(J41:J55)</f>
        <v>0</v>
      </c>
      <c r="K56" s="158">
        <f>SUM(K41:K55)</f>
        <v>0</v>
      </c>
      <c r="L56" s="158">
        <f>SUM(L41:L55)</f>
        <v>0</v>
      </c>
      <c r="M56" s="158">
        <f>SUM(M47:M55)</f>
        <v>0</v>
      </c>
      <c r="N56" s="158">
        <f>SUM(N47:N55)</f>
        <v>0</v>
      </c>
      <c r="O56" s="50"/>
      <c r="P56" s="50"/>
      <c r="Q56" s="344" t="s">
        <v>154</v>
      </c>
      <c r="R56" s="341" t="s">
        <v>77</v>
      </c>
      <c r="S56" s="88">
        <f>IF(C55&lt;0,C55,0)</f>
        <v>0</v>
      </c>
      <c r="T56" s="89">
        <f>IF(-C55&lt;0,-C55,0)</f>
        <v>-314.52999999999997</v>
      </c>
    </row>
    <row r="57" spans="1:20" s="386" customFormat="1" ht="16.5" thickTop="1" thickBot="1">
      <c r="A57" s="53"/>
      <c r="Q57" s="345" t="s">
        <v>83</v>
      </c>
      <c r="R57" s="343" t="s">
        <v>78</v>
      </c>
      <c r="S57" s="118">
        <f>IF(-C55&gt;0,-C55,0)</f>
        <v>0</v>
      </c>
      <c r="T57" s="111"/>
    </row>
    <row r="58" spans="1:20" s="386" customFormat="1">
      <c r="A58" s="53"/>
      <c r="T58" s="340">
        <f>ROUND(SUM(S52:T57),2)</f>
        <v>0</v>
      </c>
    </row>
    <row r="59" spans="1:20" s="386" customFormat="1" ht="16" thickBot="1">
      <c r="A59" s="53"/>
    </row>
    <row r="60" spans="1:20" s="386" customFormat="1" ht="16" thickBot="1">
      <c r="A60" s="58"/>
      <c r="Q60" s="338" t="s">
        <v>107</v>
      </c>
      <c r="R60" s="334"/>
      <c r="S60" s="334"/>
      <c r="T60" s="229"/>
    </row>
    <row r="61" spans="1:20" s="386" customFormat="1">
      <c r="A61" s="58">
        <v>41333</v>
      </c>
      <c r="B61" s="59" t="s">
        <v>84</v>
      </c>
      <c r="C61" s="50">
        <f>SUM(D61:N61)</f>
        <v>187567.52458600083</v>
      </c>
      <c r="D61" s="243">
        <v>369349.48148000054</v>
      </c>
      <c r="E61" s="243">
        <v>-181781.95689399971</v>
      </c>
      <c r="F61" s="244">
        <v>0</v>
      </c>
      <c r="G61" s="244">
        <v>0</v>
      </c>
      <c r="H61" s="50">
        <v>0</v>
      </c>
      <c r="I61" s="50"/>
      <c r="J61" s="50"/>
      <c r="K61" s="50"/>
      <c r="L61" s="50"/>
      <c r="M61" s="50"/>
      <c r="N61" s="50">
        <v>0</v>
      </c>
      <c r="O61" s="106"/>
      <c r="P61" s="50"/>
      <c r="Q61" s="347" t="s">
        <v>81</v>
      </c>
      <c r="R61" s="348" t="s">
        <v>58</v>
      </c>
      <c r="S61" s="112">
        <f>IF((-C56+C65)&gt;0,(-C56+C65),0)</f>
        <v>187394.42458600082</v>
      </c>
      <c r="T61" s="117">
        <f>IF((-C56+C65)&lt;0,(-C56+C65),0)</f>
        <v>0</v>
      </c>
    </row>
    <row r="62" spans="1:20" s="386" customFormat="1">
      <c r="A62" s="62"/>
      <c r="B62" s="59" t="s">
        <v>148</v>
      </c>
      <c r="C62" s="50">
        <v>0</v>
      </c>
      <c r="D62" s="244">
        <v>0</v>
      </c>
      <c r="E62" s="244">
        <v>0</v>
      </c>
      <c r="F62" s="244"/>
      <c r="G62" s="245"/>
      <c r="H62" s="60"/>
      <c r="I62" s="50"/>
      <c r="J62" s="87"/>
      <c r="K62" s="87"/>
      <c r="L62" s="50"/>
      <c r="M62" s="50"/>
      <c r="N62" s="50"/>
      <c r="O62" s="106"/>
      <c r="P62" s="50"/>
      <c r="Q62" s="349" t="s">
        <v>11</v>
      </c>
      <c r="R62" s="350" t="s">
        <v>62</v>
      </c>
      <c r="S62" s="112">
        <v>0</v>
      </c>
      <c r="T62" s="228">
        <v>0</v>
      </c>
    </row>
    <row r="63" spans="1:20" s="386" customFormat="1">
      <c r="A63" s="62"/>
      <c r="B63" s="59" t="s">
        <v>144</v>
      </c>
      <c r="C63" s="50">
        <f>SUM(D63:N63)</f>
        <v>0</v>
      </c>
      <c r="D63" s="161">
        <v>0</v>
      </c>
      <c r="E63" s="161"/>
      <c r="F63" s="161"/>
      <c r="G63" s="244">
        <v>0</v>
      </c>
      <c r="H63" s="105"/>
      <c r="I63" s="50"/>
      <c r="J63" s="87"/>
      <c r="K63" s="50"/>
      <c r="L63" s="50"/>
      <c r="M63" s="50"/>
      <c r="N63" s="50"/>
      <c r="O63" s="106"/>
      <c r="P63" s="50"/>
      <c r="Q63" s="349" t="s">
        <v>11</v>
      </c>
      <c r="R63" s="350" t="s">
        <v>209</v>
      </c>
      <c r="S63" s="112">
        <v>0</v>
      </c>
      <c r="T63" s="228">
        <v>0</v>
      </c>
    </row>
    <row r="64" spans="1:20" s="386" customFormat="1">
      <c r="A64" s="62"/>
      <c r="B64" s="59" t="s">
        <v>57</v>
      </c>
      <c r="C64" s="64">
        <f>SUM(D64:N64)</f>
        <v>-173.1</v>
      </c>
      <c r="D64" s="64"/>
      <c r="E64" s="64"/>
      <c r="F64" s="64"/>
      <c r="G64" s="64"/>
      <c r="H64" s="64">
        <f>ROUND(((C56)+(C61)/2)*(O64/12),2)</f>
        <v>-173.1</v>
      </c>
      <c r="I64" s="64"/>
      <c r="J64" s="64"/>
      <c r="K64" s="64"/>
      <c r="L64" s="64"/>
      <c r="M64" s="64"/>
      <c r="N64" s="64"/>
      <c r="O64" s="99">
        <v>0.01</v>
      </c>
      <c r="P64" s="50"/>
      <c r="Q64" s="342" t="s">
        <v>80</v>
      </c>
      <c r="R64" s="341" t="s">
        <v>59</v>
      </c>
      <c r="S64" s="88">
        <f>IF((-C61-C62-C63)&gt;0,(-C61-C62-C63),0)</f>
        <v>0</v>
      </c>
      <c r="T64" s="89">
        <f>IF((-C61-C62-C63)&lt;0,(-C61-C62-C63),0)</f>
        <v>-187567.52458600083</v>
      </c>
    </row>
    <row r="65" spans="1:20" s="386" customFormat="1" ht="16" thickBot="1">
      <c r="A65" s="104">
        <f>A61</f>
        <v>41333</v>
      </c>
      <c r="B65" s="50" t="s">
        <v>56</v>
      </c>
      <c r="C65" s="158">
        <f>SUM(C56:C64)</f>
        <v>-114103.88135705868</v>
      </c>
      <c r="D65" s="158">
        <f>SUM(D56:D64)</f>
        <v>-412963.34048567782</v>
      </c>
      <c r="E65" s="158">
        <f>SUM(E56:E64)</f>
        <v>306199.01912862028</v>
      </c>
      <c r="F65" s="158">
        <f t="shared" ref="F65" si="8">SUM(F56:F64)</f>
        <v>0</v>
      </c>
      <c r="G65" s="158">
        <f t="shared" ref="G65" si="9">SUM(G56:G64)</f>
        <v>0</v>
      </c>
      <c r="H65" s="158">
        <f>SUM(H56:H64)</f>
        <v>-7339.5599999999995</v>
      </c>
      <c r="I65" s="158">
        <f>SUM(I50:I64)</f>
        <v>0</v>
      </c>
      <c r="J65" s="158">
        <f>SUM(J50:J64)</f>
        <v>0</v>
      </c>
      <c r="K65" s="158">
        <f>SUM(K50:K64)</f>
        <v>0</v>
      </c>
      <c r="L65" s="158">
        <f>SUM(L50:L64)</f>
        <v>0</v>
      </c>
      <c r="M65" s="158">
        <f>SUM(M56:M64)</f>
        <v>0</v>
      </c>
      <c r="N65" s="158">
        <f>SUM(N56:N64)</f>
        <v>0</v>
      </c>
      <c r="O65" s="50"/>
      <c r="P65" s="50"/>
      <c r="Q65" s="344" t="s">
        <v>154</v>
      </c>
      <c r="R65" s="341" t="s">
        <v>77</v>
      </c>
      <c r="S65" s="88">
        <f>IF(-C64&lt;0,C64,0)</f>
        <v>0</v>
      </c>
      <c r="T65" s="89">
        <f>IF(-C64&lt;0,-C64,0)</f>
        <v>0</v>
      </c>
    </row>
    <row r="66" spans="1:20" s="386" customFormat="1" ht="16.5" thickTop="1" thickBot="1">
      <c r="A66" s="53"/>
      <c r="Q66" s="345" t="s">
        <v>83</v>
      </c>
      <c r="R66" s="343" t="s">
        <v>78</v>
      </c>
      <c r="S66" s="118">
        <f>IF(-C64&gt;0,-C64,0)</f>
        <v>173.1</v>
      </c>
      <c r="T66" s="111">
        <f>IF(-C64&lt;0,-C64,0)</f>
        <v>0</v>
      </c>
    </row>
    <row r="67" spans="1:20" s="386" customFormat="1">
      <c r="A67" s="53"/>
      <c r="T67" s="340">
        <f>ROUND(SUM(S61:T66),2)</f>
        <v>0</v>
      </c>
    </row>
    <row r="68" spans="1:20" s="386" customFormat="1" ht="16" thickBot="1">
      <c r="A68" s="53"/>
    </row>
    <row r="69" spans="1:20" s="386" customFormat="1" ht="16" thickBot="1">
      <c r="A69" s="58"/>
      <c r="Q69" s="338" t="s">
        <v>107</v>
      </c>
      <c r="R69" s="334"/>
      <c r="S69" s="334"/>
      <c r="T69" s="229"/>
    </row>
    <row r="70" spans="1:20" s="386" customFormat="1">
      <c r="A70" s="58">
        <v>41364</v>
      </c>
      <c r="B70" s="59" t="s">
        <v>84</v>
      </c>
      <c r="C70" s="50">
        <f>SUM(D70:N70)</f>
        <v>-70192.864177000942</v>
      </c>
      <c r="D70" s="243">
        <v>140554.57549299859</v>
      </c>
      <c r="E70" s="243">
        <v>-210747.43966999953</v>
      </c>
      <c r="F70" s="244">
        <v>0</v>
      </c>
      <c r="G70" s="244">
        <v>0</v>
      </c>
      <c r="H70" s="50">
        <v>0</v>
      </c>
      <c r="I70" s="50"/>
      <c r="J70" s="50"/>
      <c r="K70" s="50"/>
      <c r="L70" s="50"/>
      <c r="M70" s="50"/>
      <c r="N70" s="50">
        <v>0</v>
      </c>
      <c r="O70" s="106"/>
      <c r="P70" s="50"/>
      <c r="Q70" s="347" t="s">
        <v>81</v>
      </c>
      <c r="R70" s="348" t="s">
        <v>58</v>
      </c>
      <c r="S70" s="112">
        <f>IF((-C65+C74)&gt;0,(-C65+C74),0)</f>
        <v>0</v>
      </c>
      <c r="T70" s="117">
        <f>IF((-C65+C74)&lt;0,(-C65+C74),0)</f>
        <v>-70317.194177000929</v>
      </c>
    </row>
    <row r="71" spans="1:20" s="386" customFormat="1">
      <c r="A71" s="62"/>
      <c r="B71" s="59" t="s">
        <v>148</v>
      </c>
      <c r="C71" s="50">
        <v>0</v>
      </c>
      <c r="D71" s="244">
        <v>0</v>
      </c>
      <c r="E71" s="244">
        <v>0</v>
      </c>
      <c r="F71" s="244"/>
      <c r="G71" s="245"/>
      <c r="H71" s="60"/>
      <c r="I71" s="50"/>
      <c r="J71" s="87"/>
      <c r="K71" s="87"/>
      <c r="L71" s="50"/>
      <c r="M71" s="50"/>
      <c r="N71" s="50"/>
      <c r="O71" s="106"/>
      <c r="P71" s="50"/>
      <c r="Q71" s="349" t="s">
        <v>11</v>
      </c>
      <c r="R71" s="350" t="s">
        <v>62</v>
      </c>
      <c r="S71" s="112">
        <v>0</v>
      </c>
      <c r="T71" s="228">
        <v>0</v>
      </c>
    </row>
    <row r="72" spans="1:20" s="386" customFormat="1">
      <c r="A72" s="62"/>
      <c r="B72" s="59" t="s">
        <v>144</v>
      </c>
      <c r="C72" s="50">
        <f>SUM(D72:N72)</f>
        <v>0</v>
      </c>
      <c r="D72" s="161">
        <v>0</v>
      </c>
      <c r="E72" s="161"/>
      <c r="F72" s="161"/>
      <c r="G72" s="244">
        <v>0</v>
      </c>
      <c r="H72" s="105"/>
      <c r="I72" s="50"/>
      <c r="J72" s="87"/>
      <c r="K72" s="50"/>
      <c r="L72" s="50"/>
      <c r="M72" s="50"/>
      <c r="N72" s="50"/>
      <c r="O72" s="106"/>
      <c r="P72" s="50"/>
      <c r="Q72" s="349" t="s">
        <v>11</v>
      </c>
      <c r="R72" s="350" t="s">
        <v>209</v>
      </c>
      <c r="S72" s="112">
        <v>0</v>
      </c>
      <c r="T72" s="228">
        <v>0</v>
      </c>
    </row>
    <row r="73" spans="1:20" s="386" customFormat="1">
      <c r="A73" s="62"/>
      <c r="B73" s="59" t="s">
        <v>57</v>
      </c>
      <c r="C73" s="64">
        <f>SUM(D73:N73)</f>
        <v>-124.33</v>
      </c>
      <c r="D73" s="64"/>
      <c r="E73" s="64"/>
      <c r="F73" s="64"/>
      <c r="G73" s="64"/>
      <c r="H73" s="64">
        <v>-124.33</v>
      </c>
      <c r="I73" s="64"/>
      <c r="J73" s="64"/>
      <c r="K73" s="64"/>
      <c r="L73" s="64"/>
      <c r="M73" s="64"/>
      <c r="N73" s="64"/>
      <c r="O73" s="99">
        <v>0.01</v>
      </c>
      <c r="P73" s="50"/>
      <c r="Q73" s="342" t="s">
        <v>80</v>
      </c>
      <c r="R73" s="341" t="s">
        <v>59</v>
      </c>
      <c r="S73" s="88">
        <f>IF((-C70-C71-C72)&gt;0,(-C70-C71-C72),0)</f>
        <v>70192.864177000942</v>
      </c>
      <c r="T73" s="89">
        <f>IF((-C70-C71-C72)&lt;0,(-C70-C71-C72),0)</f>
        <v>0</v>
      </c>
    </row>
    <row r="74" spans="1:20" s="386" customFormat="1" ht="16" thickBot="1">
      <c r="A74" s="104">
        <f>A70</f>
        <v>41364</v>
      </c>
      <c r="B74" s="50" t="s">
        <v>56</v>
      </c>
      <c r="C74" s="158">
        <f>SUM(C65:C73)</f>
        <v>-184421.07553405961</v>
      </c>
      <c r="D74" s="158">
        <f>SUM(D65:D73)</f>
        <v>-272408.76499267924</v>
      </c>
      <c r="E74" s="158">
        <f>SUM(E65:E73)</f>
        <v>95451.579458620748</v>
      </c>
      <c r="F74" s="158">
        <f t="shared" ref="F74:G74" si="10">SUM(F65:F73)</f>
        <v>0</v>
      </c>
      <c r="G74" s="158">
        <f t="shared" si="10"/>
        <v>0</v>
      </c>
      <c r="H74" s="158">
        <f>SUM(H65:H73)</f>
        <v>-7463.8899999999994</v>
      </c>
      <c r="I74" s="158">
        <f>SUM(I59:I73)</f>
        <v>0</v>
      </c>
      <c r="J74" s="158">
        <f>SUM(J59:J73)</f>
        <v>0</v>
      </c>
      <c r="K74" s="158">
        <f>SUM(K59:K73)</f>
        <v>0</v>
      </c>
      <c r="L74" s="158">
        <f>SUM(L59:L73)</f>
        <v>0</v>
      </c>
      <c r="M74" s="158">
        <f>SUM(M65:M73)</f>
        <v>0</v>
      </c>
      <c r="N74" s="158">
        <f>SUM(N65:N73)</f>
        <v>0</v>
      </c>
      <c r="O74" s="50"/>
      <c r="P74" s="50"/>
      <c r="Q74" s="344" t="s">
        <v>154</v>
      </c>
      <c r="R74" s="341" t="s">
        <v>77</v>
      </c>
      <c r="S74" s="88">
        <f>IF(-C73&lt;0,C73,0)</f>
        <v>0</v>
      </c>
      <c r="T74" s="89">
        <f>IF(-C73&lt;0,-C73,0)</f>
        <v>0</v>
      </c>
    </row>
    <row r="75" spans="1:20" s="386" customFormat="1" ht="16.5" thickTop="1" thickBot="1">
      <c r="A75" s="53"/>
      <c r="Q75" s="345" t="s">
        <v>83</v>
      </c>
      <c r="R75" s="343" t="s">
        <v>78</v>
      </c>
      <c r="S75" s="118">
        <f>IF(-C73&gt;0,-C73,0)</f>
        <v>124.33</v>
      </c>
      <c r="T75" s="111">
        <f>IF(-C73&lt;0,-C73,0)</f>
        <v>0</v>
      </c>
    </row>
    <row r="76" spans="1:20" s="386" customFormat="1">
      <c r="A76" s="53"/>
      <c r="T76" s="340">
        <f>ROUND(SUM(S70:T75),2)</f>
        <v>0</v>
      </c>
    </row>
    <row r="77" spans="1:20" s="386" customFormat="1" ht="16" thickBot="1">
      <c r="A77" s="53"/>
    </row>
    <row r="78" spans="1:20" s="386" customFormat="1" ht="16" thickBot="1">
      <c r="A78" s="58"/>
      <c r="Q78" s="338" t="s">
        <v>107</v>
      </c>
      <c r="R78" s="334"/>
      <c r="S78" s="334"/>
      <c r="T78" s="229"/>
    </row>
    <row r="79" spans="1:20" s="386" customFormat="1">
      <c r="A79" s="58">
        <v>41394</v>
      </c>
      <c r="B79" s="59" t="s">
        <v>84</v>
      </c>
      <c r="C79" s="50">
        <f>SUM(D79:N79)</f>
        <v>-119237.76640399999</v>
      </c>
      <c r="D79" s="243">
        <v>-143506.72479399992</v>
      </c>
      <c r="E79" s="243">
        <v>24268.958389999927</v>
      </c>
      <c r="F79" s="244">
        <v>0</v>
      </c>
      <c r="G79" s="244">
        <v>0</v>
      </c>
      <c r="H79" s="50">
        <v>0</v>
      </c>
      <c r="I79" s="50"/>
      <c r="J79" s="50"/>
      <c r="K79" s="50"/>
      <c r="L79" s="50"/>
      <c r="M79" s="50"/>
      <c r="N79" s="50">
        <v>0</v>
      </c>
      <c r="O79" s="106"/>
      <c r="P79" s="50"/>
      <c r="Q79" s="347" t="s">
        <v>81</v>
      </c>
      <c r="R79" s="348" t="s">
        <v>58</v>
      </c>
      <c r="S79" s="112">
        <f>IF((-C74+C83)&gt;0,(-C74+C83),0)</f>
        <v>0</v>
      </c>
      <c r="T79" s="117">
        <f>IF((-C74+C83)&lt;0,(-C74+C83),0)</f>
        <v>-119441.13640399999</v>
      </c>
    </row>
    <row r="80" spans="1:20" s="386" customFormat="1">
      <c r="A80" s="62"/>
      <c r="B80" s="59" t="s">
        <v>148</v>
      </c>
      <c r="C80" s="50">
        <v>0</v>
      </c>
      <c r="D80" s="244">
        <v>0</v>
      </c>
      <c r="E80" s="244">
        <v>0</v>
      </c>
      <c r="F80" s="244"/>
      <c r="G80" s="245"/>
      <c r="H80" s="60"/>
      <c r="I80" s="50"/>
      <c r="J80" s="87"/>
      <c r="K80" s="87"/>
      <c r="L80" s="50"/>
      <c r="M80" s="50"/>
      <c r="N80" s="50"/>
      <c r="O80" s="106"/>
      <c r="P80" s="50"/>
      <c r="Q80" s="349" t="s">
        <v>11</v>
      </c>
      <c r="R80" s="350" t="s">
        <v>62</v>
      </c>
      <c r="S80" s="112">
        <v>0</v>
      </c>
      <c r="T80" s="228">
        <v>0</v>
      </c>
    </row>
    <row r="81" spans="1:20" s="386" customFormat="1">
      <c r="A81" s="62"/>
      <c r="B81" s="59" t="s">
        <v>144</v>
      </c>
      <c r="C81" s="50">
        <f>SUM(D81:N81)</f>
        <v>0</v>
      </c>
      <c r="D81" s="161">
        <v>0</v>
      </c>
      <c r="E81" s="161"/>
      <c r="F81" s="161"/>
      <c r="G81" s="244">
        <v>0</v>
      </c>
      <c r="H81" s="105"/>
      <c r="I81" s="50"/>
      <c r="J81" s="87"/>
      <c r="K81" s="50"/>
      <c r="L81" s="50"/>
      <c r="M81" s="50"/>
      <c r="N81" s="50"/>
      <c r="O81" s="106"/>
      <c r="P81" s="50"/>
      <c r="Q81" s="349" t="s">
        <v>11</v>
      </c>
      <c r="R81" s="350" t="s">
        <v>209</v>
      </c>
      <c r="S81" s="112">
        <v>0</v>
      </c>
      <c r="T81" s="228">
        <v>0</v>
      </c>
    </row>
    <row r="82" spans="1:20" s="386" customFormat="1">
      <c r="A82" s="62"/>
      <c r="B82" s="59" t="s">
        <v>57</v>
      </c>
      <c r="C82" s="64">
        <f>SUM(D82:N82)</f>
        <v>-203.37</v>
      </c>
      <c r="D82" s="64"/>
      <c r="E82" s="64"/>
      <c r="F82" s="64"/>
      <c r="G82" s="64"/>
      <c r="H82" s="64">
        <v>-203.37</v>
      </c>
      <c r="I82" s="64"/>
      <c r="J82" s="64"/>
      <c r="K82" s="64"/>
      <c r="L82" s="64"/>
      <c r="M82" s="64"/>
      <c r="N82" s="64"/>
      <c r="O82" s="99">
        <v>0.01</v>
      </c>
      <c r="P82" s="50"/>
      <c r="Q82" s="342" t="s">
        <v>80</v>
      </c>
      <c r="R82" s="341" t="s">
        <v>59</v>
      </c>
      <c r="S82" s="88">
        <f>IF((-C79-C80-C81)&gt;0,(-C79-C80-C81),0)</f>
        <v>119237.76640399999</v>
      </c>
      <c r="T82" s="89">
        <f>IF((-C79-C80-C81)&lt;0,(-C79-C80-C81),0)</f>
        <v>0</v>
      </c>
    </row>
    <row r="83" spans="1:20" s="386" customFormat="1" ht="16" thickBot="1">
      <c r="A83" s="104">
        <f>A79</f>
        <v>41394</v>
      </c>
      <c r="B83" s="50" t="s">
        <v>56</v>
      </c>
      <c r="C83" s="158">
        <f>SUM(C74:C82)</f>
        <v>-303862.2119380596</v>
      </c>
      <c r="D83" s="158">
        <f>SUM(D74:D82)</f>
        <v>-415915.48978667916</v>
      </c>
      <c r="E83" s="158">
        <f>SUM(E74:E82)</f>
        <v>119720.53784862068</v>
      </c>
      <c r="F83" s="158">
        <f t="shared" ref="F83:G83" si="11">SUM(F74:F82)</f>
        <v>0</v>
      </c>
      <c r="G83" s="158">
        <f t="shared" si="11"/>
        <v>0</v>
      </c>
      <c r="H83" s="158">
        <f>SUM(H74:H82)</f>
        <v>-7667.2599999999993</v>
      </c>
      <c r="I83" s="158">
        <f>SUM(I68:I82)</f>
        <v>0</v>
      </c>
      <c r="J83" s="158">
        <f>SUM(J68:J82)</f>
        <v>0</v>
      </c>
      <c r="K83" s="158">
        <f>SUM(K68:K82)</f>
        <v>0</v>
      </c>
      <c r="L83" s="158">
        <f>SUM(L68:L82)</f>
        <v>0</v>
      </c>
      <c r="M83" s="158">
        <f>SUM(M74:M82)</f>
        <v>0</v>
      </c>
      <c r="N83" s="158">
        <f>SUM(N74:N82)</f>
        <v>0</v>
      </c>
      <c r="O83" s="50"/>
      <c r="P83" s="50"/>
      <c r="Q83" s="344" t="s">
        <v>154</v>
      </c>
      <c r="R83" s="341" t="s">
        <v>77</v>
      </c>
      <c r="S83" s="88">
        <f>IF(-C82&lt;0,C82,0)</f>
        <v>0</v>
      </c>
      <c r="T83" s="89">
        <f>IF(-C82&lt;0,-C82,0)</f>
        <v>0</v>
      </c>
    </row>
    <row r="84" spans="1:20" s="386" customFormat="1" ht="16.5" thickTop="1" thickBot="1">
      <c r="A84" s="53"/>
      <c r="C84" s="387"/>
      <c r="Q84" s="345" t="s">
        <v>83</v>
      </c>
      <c r="R84" s="343" t="s">
        <v>78</v>
      </c>
      <c r="S84" s="118">
        <f>IF(-C82&gt;0,-C82,0)</f>
        <v>203.37</v>
      </c>
      <c r="T84" s="111">
        <f>IF(-C82&lt;0,-C82,0)</f>
        <v>0</v>
      </c>
    </row>
    <row r="85" spans="1:20" s="386" customFormat="1">
      <c r="A85" s="53"/>
      <c r="T85" s="340">
        <f>ROUND(SUM(S79:T84),2)</f>
        <v>0</v>
      </c>
    </row>
    <row r="86" spans="1:20" s="386" customFormat="1" ht="16" thickBot="1">
      <c r="A86" s="53"/>
    </row>
    <row r="87" spans="1:20" s="386" customFormat="1" ht="16" thickBot="1">
      <c r="A87" s="58"/>
      <c r="Q87" s="338" t="s">
        <v>107</v>
      </c>
      <c r="R87" s="334"/>
      <c r="S87" s="334"/>
      <c r="T87" s="229"/>
    </row>
    <row r="88" spans="1:20" s="386" customFormat="1">
      <c r="A88" s="58">
        <v>41425</v>
      </c>
      <c r="B88" s="59" t="s">
        <v>84</v>
      </c>
      <c r="C88" s="50">
        <f>SUM(D88:N88)</f>
        <v>96129.565981999214</v>
      </c>
      <c r="D88" s="243">
        <v>-261363.31669000082</v>
      </c>
      <c r="E88" s="243">
        <v>357492.88267200004</v>
      </c>
      <c r="F88" s="244">
        <v>0</v>
      </c>
      <c r="G88" s="244">
        <v>0</v>
      </c>
      <c r="H88" s="50">
        <v>0</v>
      </c>
      <c r="I88" s="50"/>
      <c r="J88" s="50"/>
      <c r="K88" s="50"/>
      <c r="L88" s="50"/>
      <c r="M88" s="50"/>
      <c r="N88" s="50">
        <v>0</v>
      </c>
      <c r="O88" s="106"/>
      <c r="P88" s="50"/>
      <c r="Q88" s="347" t="s">
        <v>81</v>
      </c>
      <c r="R88" s="348" t="s">
        <v>58</v>
      </c>
      <c r="S88" s="112">
        <f>IF((-C83+C92)&gt;0,(-C83+C92),0)</f>
        <v>95916.405981999211</v>
      </c>
      <c r="T88" s="117">
        <f>IF((-C83+C92)&lt;0,(-C83+C92),0)</f>
        <v>0</v>
      </c>
    </row>
    <row r="89" spans="1:20" s="386" customFormat="1">
      <c r="A89" s="62"/>
      <c r="B89" s="59" t="s">
        <v>148</v>
      </c>
      <c r="C89" s="50">
        <v>0</v>
      </c>
      <c r="D89" s="244">
        <v>0</v>
      </c>
      <c r="E89" s="244">
        <v>0</v>
      </c>
      <c r="F89" s="244"/>
      <c r="G89" s="245"/>
      <c r="H89" s="60"/>
      <c r="I89" s="50"/>
      <c r="J89" s="87"/>
      <c r="K89" s="87"/>
      <c r="L89" s="50"/>
      <c r="M89" s="50"/>
      <c r="N89" s="50"/>
      <c r="O89" s="106"/>
      <c r="P89" s="50"/>
      <c r="Q89" s="349" t="s">
        <v>11</v>
      </c>
      <c r="R89" s="350" t="s">
        <v>62</v>
      </c>
      <c r="S89" s="112">
        <v>0</v>
      </c>
      <c r="T89" s="228">
        <v>0</v>
      </c>
    </row>
    <row r="90" spans="1:20" s="386" customFormat="1">
      <c r="A90" s="62"/>
      <c r="B90" s="59" t="s">
        <v>144</v>
      </c>
      <c r="C90" s="50">
        <f>SUM(D90:N90)</f>
        <v>0</v>
      </c>
      <c r="D90" s="161">
        <v>0</v>
      </c>
      <c r="E90" s="161"/>
      <c r="F90" s="161"/>
      <c r="G90" s="244">
        <v>0</v>
      </c>
      <c r="H90" s="105"/>
      <c r="I90" s="50"/>
      <c r="J90" s="87"/>
      <c r="K90" s="50"/>
      <c r="L90" s="50"/>
      <c r="M90" s="50"/>
      <c r="N90" s="50"/>
      <c r="O90" s="106"/>
      <c r="P90" s="50"/>
      <c r="Q90" s="349" t="s">
        <v>11</v>
      </c>
      <c r="R90" s="350" t="s">
        <v>209</v>
      </c>
      <c r="S90" s="112">
        <v>0</v>
      </c>
      <c r="T90" s="228">
        <v>0</v>
      </c>
    </row>
    <row r="91" spans="1:20" s="386" customFormat="1">
      <c r="A91" s="62"/>
      <c r="B91" s="59" t="s">
        <v>57</v>
      </c>
      <c r="C91" s="64">
        <f>SUM(D91:N91)</f>
        <v>-213.16</v>
      </c>
      <c r="D91" s="64"/>
      <c r="E91" s="64"/>
      <c r="F91" s="64"/>
      <c r="G91" s="64"/>
      <c r="H91" s="64">
        <v>-213.16</v>
      </c>
      <c r="I91" s="64"/>
      <c r="J91" s="64"/>
      <c r="K91" s="64"/>
      <c r="L91" s="64"/>
      <c r="M91" s="64"/>
      <c r="N91" s="64"/>
      <c r="O91" s="99">
        <v>0.01</v>
      </c>
      <c r="P91" s="50"/>
      <c r="Q91" s="342" t="s">
        <v>80</v>
      </c>
      <c r="R91" s="341" t="s">
        <v>59</v>
      </c>
      <c r="S91" s="88">
        <f>IF((-C88-C89-C90)&gt;0,(-C88-C89-C90),0)</f>
        <v>0</v>
      </c>
      <c r="T91" s="89">
        <f>IF((-C88-C89-C90)&lt;0,(-C88-C89-C90),0)</f>
        <v>-96129.565981999214</v>
      </c>
    </row>
    <row r="92" spans="1:20" s="386" customFormat="1" ht="16" thickBot="1">
      <c r="A92" s="104">
        <f>A88</f>
        <v>41425</v>
      </c>
      <c r="B92" s="50" t="s">
        <v>56</v>
      </c>
      <c r="C92" s="158">
        <f t="shared" ref="C92:H92" si="12">SUM(C83:C91)</f>
        <v>-207945.80595606039</v>
      </c>
      <c r="D92" s="158">
        <f t="shared" si="12"/>
        <v>-677278.80647667998</v>
      </c>
      <c r="E92" s="158">
        <f t="shared" si="12"/>
        <v>477213.42052062071</v>
      </c>
      <c r="F92" s="158">
        <f t="shared" si="12"/>
        <v>0</v>
      </c>
      <c r="G92" s="158">
        <f t="shared" si="12"/>
        <v>0</v>
      </c>
      <c r="H92" s="158">
        <f t="shared" si="12"/>
        <v>-7880.4199999999992</v>
      </c>
      <c r="I92" s="158">
        <f>SUM(I77:I91)</f>
        <v>0</v>
      </c>
      <c r="J92" s="158">
        <f>SUM(J77:J91)</f>
        <v>0</v>
      </c>
      <c r="K92" s="158">
        <f>SUM(K77:K91)</f>
        <v>0</v>
      </c>
      <c r="L92" s="158">
        <f>SUM(L77:L91)</f>
        <v>0</v>
      </c>
      <c r="M92" s="158">
        <f>SUM(M83:M91)</f>
        <v>0</v>
      </c>
      <c r="N92" s="158">
        <f>SUM(N83:N91)</f>
        <v>0</v>
      </c>
      <c r="O92" s="50"/>
      <c r="P92" s="50"/>
      <c r="Q92" s="344" t="s">
        <v>154</v>
      </c>
      <c r="R92" s="341" t="s">
        <v>77</v>
      </c>
      <c r="S92" s="88">
        <f>IF(-C91&lt;0,C91,0)</f>
        <v>0</v>
      </c>
      <c r="T92" s="89">
        <f>IF(-C91&lt;0,-C91,0)</f>
        <v>0</v>
      </c>
    </row>
    <row r="93" spans="1:20" s="386" customFormat="1" ht="16.5" thickTop="1" thickBot="1">
      <c r="A93" s="53"/>
      <c r="Q93" s="345" t="s">
        <v>83</v>
      </c>
      <c r="R93" s="343" t="s">
        <v>78</v>
      </c>
      <c r="S93" s="118">
        <f>IF(-C91&gt;0,-C91,0)</f>
        <v>213.16</v>
      </c>
      <c r="T93" s="111">
        <f>IF(-C91&lt;0,-C91,0)</f>
        <v>0</v>
      </c>
    </row>
    <row r="94" spans="1:20" s="386" customFormat="1">
      <c r="A94" s="53"/>
      <c r="T94" s="340">
        <f>ROUND(SUM(S88:T93),2)</f>
        <v>0</v>
      </c>
    </row>
    <row r="95" spans="1:20" s="386" customFormat="1" ht="16" thickBot="1">
      <c r="A95" s="53"/>
    </row>
    <row r="96" spans="1:20" s="386" customFormat="1" ht="16" thickBot="1">
      <c r="A96" s="58"/>
      <c r="Q96" s="338" t="s">
        <v>107</v>
      </c>
      <c r="R96" s="334"/>
      <c r="S96" s="334"/>
      <c r="T96" s="229"/>
    </row>
    <row r="97" spans="1:20" s="386" customFormat="1">
      <c r="A97" s="58">
        <v>41426</v>
      </c>
      <c r="B97" s="59" t="s">
        <v>84</v>
      </c>
      <c r="C97" s="50">
        <f>SUM(D97:N97)</f>
        <v>316646.56350300065</v>
      </c>
      <c r="D97" s="243">
        <v>-87258.97678599949</v>
      </c>
      <c r="E97" s="243">
        <v>403905.54028900014</v>
      </c>
      <c r="F97" s="244">
        <v>0</v>
      </c>
      <c r="G97" s="244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47" t="s">
        <v>81</v>
      </c>
      <c r="R97" s="348" t="s">
        <v>58</v>
      </c>
      <c r="S97" s="112">
        <f>IF((-C92+C101)&gt;0,(-C92+C101),0)</f>
        <v>316605.21350300068</v>
      </c>
      <c r="T97" s="117">
        <f>IF((-C92+C101)&lt;0,(-C92+C101),0)</f>
        <v>0</v>
      </c>
    </row>
    <row r="98" spans="1:20" s="386" customFormat="1">
      <c r="A98" s="62"/>
      <c r="B98" s="59" t="s">
        <v>148</v>
      </c>
      <c r="C98" s="50">
        <v>0</v>
      </c>
      <c r="D98" s="244">
        <v>0</v>
      </c>
      <c r="E98" s="244">
        <v>0</v>
      </c>
      <c r="F98" s="244"/>
      <c r="G98" s="245"/>
      <c r="H98" s="60"/>
      <c r="I98" s="50"/>
      <c r="J98" s="87"/>
      <c r="K98" s="87"/>
      <c r="L98" s="50"/>
      <c r="M98" s="50"/>
      <c r="N98" s="50"/>
      <c r="O98" s="106"/>
      <c r="P98" s="50"/>
      <c r="Q98" s="349" t="s">
        <v>11</v>
      </c>
      <c r="R98" s="350" t="s">
        <v>62</v>
      </c>
      <c r="S98" s="112">
        <v>0</v>
      </c>
      <c r="T98" s="228">
        <v>0</v>
      </c>
    </row>
    <row r="99" spans="1:20" s="386" customFormat="1">
      <c r="A99" s="62"/>
      <c r="B99" s="59" t="s">
        <v>144</v>
      </c>
      <c r="C99" s="50">
        <f>SUM(D99:N99)</f>
        <v>0</v>
      </c>
      <c r="D99" s="161">
        <v>0</v>
      </c>
      <c r="E99" s="161"/>
      <c r="F99" s="161"/>
      <c r="G99" s="244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9" t="s">
        <v>11</v>
      </c>
      <c r="R99" s="350" t="s">
        <v>209</v>
      </c>
      <c r="S99" s="112">
        <v>0</v>
      </c>
      <c r="T99" s="228">
        <v>0</v>
      </c>
    </row>
    <row r="100" spans="1:20" s="386" customFormat="1">
      <c r="A100" s="62"/>
      <c r="B100" s="59" t="s">
        <v>57</v>
      </c>
      <c r="C100" s="64">
        <f>SUM(D100:N100)</f>
        <v>-41.35</v>
      </c>
      <c r="D100" s="64"/>
      <c r="E100" s="64"/>
      <c r="F100" s="64"/>
      <c r="G100" s="64"/>
      <c r="H100" s="64">
        <f>ROUND(((C92)+(C97)/2)*(O100/12),2)</f>
        <v>-41.35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2" t="s">
        <v>80</v>
      </c>
      <c r="R100" s="341" t="s">
        <v>59</v>
      </c>
      <c r="S100" s="88">
        <f>IF((-C97-C98-C99)&gt;0,(-C97-C98-C99),0)</f>
        <v>0</v>
      </c>
      <c r="T100" s="89">
        <f>IF((-C97-C98-C99)&lt;0,(-C97-C98-C99),0)</f>
        <v>-316646.56350300065</v>
      </c>
    </row>
    <row r="101" spans="1:20" s="386" customFormat="1" ht="16" thickBot="1">
      <c r="A101" s="104">
        <f>A97</f>
        <v>41426</v>
      </c>
      <c r="B101" s="50" t="s">
        <v>56</v>
      </c>
      <c r="C101" s="158">
        <f>SUM(C92:C100)</f>
        <v>108659.40754694026</v>
      </c>
      <c r="D101" s="158">
        <f>SUM(D92:D100)</f>
        <v>-764537.78326267947</v>
      </c>
      <c r="E101" s="158">
        <f>SUM(E92:E100)</f>
        <v>881118.9608096208</v>
      </c>
      <c r="F101" s="158">
        <f t="shared" ref="F101" si="13">SUM(F92:F100)</f>
        <v>0</v>
      </c>
      <c r="G101" s="158">
        <f t="shared" ref="G101" si="14">SUM(G92:G100)</f>
        <v>0</v>
      </c>
      <c r="H101" s="158">
        <f t="shared" ref="H101" si="15">SUM(H92:H100)</f>
        <v>-7921.7699999999995</v>
      </c>
      <c r="I101" s="158">
        <f>SUM(I86:I100)</f>
        <v>0</v>
      </c>
      <c r="J101" s="158">
        <f>SUM(J86:J100)</f>
        <v>0</v>
      </c>
      <c r="K101" s="158">
        <f>SUM(K86:K100)</f>
        <v>0</v>
      </c>
      <c r="L101" s="158">
        <f>SUM(L86:L100)</f>
        <v>0</v>
      </c>
      <c r="M101" s="158">
        <f>SUM(M92:M100)</f>
        <v>0</v>
      </c>
      <c r="N101" s="158">
        <f>SUM(N92:N100)</f>
        <v>0</v>
      </c>
      <c r="O101" s="50"/>
      <c r="P101" s="50"/>
      <c r="Q101" s="344" t="s">
        <v>154</v>
      </c>
      <c r="R101" s="341" t="s">
        <v>77</v>
      </c>
      <c r="S101" s="88">
        <f>IF(-C100&lt;0,C100,0)</f>
        <v>0</v>
      </c>
      <c r="T101" s="89">
        <f>IF(-C100&lt;0,-C100,0)</f>
        <v>0</v>
      </c>
    </row>
    <row r="102" spans="1:20" s="386" customFormat="1" ht="16.5" thickTop="1" thickBot="1">
      <c r="A102" s="53"/>
      <c r="Q102" s="345" t="s">
        <v>83</v>
      </c>
      <c r="R102" s="343" t="s">
        <v>78</v>
      </c>
      <c r="S102" s="118">
        <f>IF(-C100&gt;0,-C100,0)</f>
        <v>41.35</v>
      </c>
      <c r="T102" s="111">
        <f>IF(-C100&lt;0,-C100,0)</f>
        <v>0</v>
      </c>
    </row>
    <row r="103" spans="1:20" s="386" customFormat="1">
      <c r="A103" s="53"/>
      <c r="T103" s="340">
        <f>ROUND(SUM(S97:T102),2)</f>
        <v>0</v>
      </c>
    </row>
    <row r="104" spans="1:20" ht="16" thickBot="1"/>
    <row r="105" spans="1:20" s="386" customFormat="1" ht="16" thickBot="1">
      <c r="A105" s="58"/>
      <c r="Q105" s="338" t="s">
        <v>107</v>
      </c>
      <c r="R105" s="334"/>
      <c r="S105" s="334"/>
      <c r="T105" s="229"/>
    </row>
    <row r="106" spans="1:20" s="386" customFormat="1">
      <c r="A106" s="58">
        <v>41456</v>
      </c>
      <c r="B106" s="59" t="s">
        <v>84</v>
      </c>
      <c r="C106" s="50">
        <f>SUM(D106:N106)</f>
        <v>269453.32351300115</v>
      </c>
      <c r="D106" s="243">
        <v>-247183.18822599918</v>
      </c>
      <c r="E106" s="243">
        <v>516636.51173900033</v>
      </c>
      <c r="F106" s="244">
        <v>0</v>
      </c>
      <c r="G106" s="244">
        <v>0</v>
      </c>
      <c r="H106" s="50">
        <v>0</v>
      </c>
      <c r="I106" s="50"/>
      <c r="J106" s="50"/>
      <c r="K106" s="50"/>
      <c r="L106" s="50"/>
      <c r="M106" s="50"/>
      <c r="N106" s="50">
        <v>0</v>
      </c>
      <c r="O106" s="106"/>
      <c r="P106" s="50"/>
      <c r="Q106" s="347" t="s">
        <v>81</v>
      </c>
      <c r="R106" s="348" t="s">
        <v>58</v>
      </c>
      <c r="S106" s="112">
        <f>IF((-C101+C110)&gt;0,(-C101+C110),0)</f>
        <v>269656.14351300115</v>
      </c>
      <c r="T106" s="117">
        <f>IF((-C101+C110)&lt;0,(-C101+C110),0)</f>
        <v>0</v>
      </c>
    </row>
    <row r="107" spans="1:20" s="386" customFormat="1">
      <c r="A107" s="62"/>
      <c r="B107" s="59" t="s">
        <v>148</v>
      </c>
      <c r="C107" s="50">
        <v>0</v>
      </c>
      <c r="D107" s="244">
        <v>0</v>
      </c>
      <c r="E107" s="244">
        <v>0</v>
      </c>
      <c r="F107" s="244"/>
      <c r="G107" s="245"/>
      <c r="H107" s="60"/>
      <c r="I107" s="50"/>
      <c r="J107" s="87"/>
      <c r="K107" s="87"/>
      <c r="L107" s="50"/>
      <c r="M107" s="50"/>
      <c r="N107" s="50"/>
      <c r="O107" s="106"/>
      <c r="P107" s="50"/>
      <c r="Q107" s="349" t="s">
        <v>11</v>
      </c>
      <c r="R107" s="350" t="s">
        <v>62</v>
      </c>
      <c r="S107" s="112">
        <v>0</v>
      </c>
      <c r="T107" s="228">
        <v>0</v>
      </c>
    </row>
    <row r="108" spans="1:20" s="386" customFormat="1">
      <c r="A108" s="62"/>
      <c r="B108" s="59" t="s">
        <v>144</v>
      </c>
      <c r="C108" s="50">
        <f>SUM(D108:N108)</f>
        <v>0</v>
      </c>
      <c r="D108" s="161">
        <v>0</v>
      </c>
      <c r="E108" s="161"/>
      <c r="F108" s="161"/>
      <c r="G108" s="244">
        <v>0</v>
      </c>
      <c r="H108" s="105"/>
      <c r="I108" s="50"/>
      <c r="J108" s="87"/>
      <c r="K108" s="50"/>
      <c r="L108" s="50"/>
      <c r="M108" s="50"/>
      <c r="N108" s="50"/>
      <c r="O108" s="106"/>
      <c r="P108" s="50"/>
      <c r="Q108" s="349" t="s">
        <v>11</v>
      </c>
      <c r="R108" s="350" t="s">
        <v>209</v>
      </c>
      <c r="S108" s="112">
        <v>0</v>
      </c>
      <c r="T108" s="228">
        <v>0</v>
      </c>
    </row>
    <row r="109" spans="1:20" s="386" customFormat="1">
      <c r="A109" s="62"/>
      <c r="B109" s="59" t="s">
        <v>57</v>
      </c>
      <c r="C109" s="64">
        <f>SUM(D109:N109)</f>
        <v>202.82</v>
      </c>
      <c r="D109" s="64"/>
      <c r="E109" s="64"/>
      <c r="F109" s="64"/>
      <c r="G109" s="64"/>
      <c r="H109" s="64">
        <v>202.82</v>
      </c>
      <c r="I109" s="64"/>
      <c r="J109" s="64"/>
      <c r="K109" s="64"/>
      <c r="L109" s="64"/>
      <c r="M109" s="64"/>
      <c r="N109" s="64"/>
      <c r="O109" s="99">
        <v>0.01</v>
      </c>
      <c r="P109" s="50"/>
      <c r="Q109" s="342" t="s">
        <v>80</v>
      </c>
      <c r="R109" s="341" t="s">
        <v>59</v>
      </c>
      <c r="S109" s="88">
        <f>IF((-C106-C107-C108)&gt;0,(-C106-C107-C108),0)</f>
        <v>0</v>
      </c>
      <c r="T109" s="89">
        <f>IF((-C106-C107-C108)&lt;0,(-C106-C107-C108),0)</f>
        <v>-269453.32351300115</v>
      </c>
    </row>
    <row r="110" spans="1:20" s="386" customFormat="1" ht="16" thickBot="1">
      <c r="A110" s="104">
        <f>A106</f>
        <v>41456</v>
      </c>
      <c r="B110" s="50" t="s">
        <v>56</v>
      </c>
      <c r="C110" s="158">
        <f>SUM(C101:C109)</f>
        <v>378315.55105994141</v>
      </c>
      <c r="D110" s="158">
        <f>SUM(D101:D109)</f>
        <v>-1011720.9714886786</v>
      </c>
      <c r="E110" s="158">
        <f>SUM(E101:E109)</f>
        <v>1397755.4725486212</v>
      </c>
      <c r="F110" s="158">
        <f t="shared" ref="F110:H110" si="16">SUM(F101:F109)</f>
        <v>0</v>
      </c>
      <c r="G110" s="158">
        <f t="shared" si="16"/>
        <v>0</v>
      </c>
      <c r="H110" s="158">
        <f t="shared" si="16"/>
        <v>-7718.95</v>
      </c>
      <c r="I110" s="158">
        <f>SUM(I95:I109)</f>
        <v>0</v>
      </c>
      <c r="J110" s="158">
        <f>SUM(J95:J109)</f>
        <v>0</v>
      </c>
      <c r="K110" s="158">
        <f>SUM(K95:K109)</f>
        <v>0</v>
      </c>
      <c r="L110" s="158">
        <f>SUM(L95:L109)</f>
        <v>0</v>
      </c>
      <c r="M110" s="158">
        <f>SUM(M101:M109)</f>
        <v>0</v>
      </c>
      <c r="N110" s="158">
        <f>SUM(N101:N109)</f>
        <v>0</v>
      </c>
      <c r="O110" s="50"/>
      <c r="P110" s="50"/>
      <c r="Q110" s="344" t="s">
        <v>154</v>
      </c>
      <c r="R110" s="341" t="s">
        <v>77</v>
      </c>
      <c r="S110" s="88">
        <v>0</v>
      </c>
      <c r="T110" s="89">
        <f>IF(-C109&lt;0,-C109,0)</f>
        <v>-202.82</v>
      </c>
    </row>
    <row r="111" spans="1:20" s="386" customFormat="1" ht="16.5" thickTop="1" thickBot="1">
      <c r="A111" s="53"/>
      <c r="Q111" s="345" t="s">
        <v>83</v>
      </c>
      <c r="R111" s="343" t="s">
        <v>78</v>
      </c>
      <c r="S111" s="118">
        <f>IF(-C109&gt;0,-C109,0)</f>
        <v>0</v>
      </c>
      <c r="T111" s="111">
        <v>0</v>
      </c>
    </row>
    <row r="112" spans="1:20" s="386" customFormat="1">
      <c r="A112" s="53"/>
      <c r="T112" s="340">
        <f>ROUND(SUM(S106:T111),2)</f>
        <v>0</v>
      </c>
    </row>
    <row r="113" spans="1:20" ht="16" thickBot="1"/>
    <row r="114" spans="1:20" s="386" customFormat="1" ht="16" thickBot="1">
      <c r="A114" s="58"/>
      <c r="Q114" s="338" t="s">
        <v>107</v>
      </c>
      <c r="R114" s="334"/>
      <c r="S114" s="334"/>
      <c r="T114" s="229"/>
    </row>
    <row r="115" spans="1:20" s="386" customFormat="1">
      <c r="A115" s="58">
        <v>41487</v>
      </c>
      <c r="B115" s="59" t="s">
        <v>84</v>
      </c>
      <c r="C115" s="50">
        <f>SUM(D115:N115)</f>
        <v>112699.18364000041</v>
      </c>
      <c r="D115" s="243">
        <v>-357404.51535499981</v>
      </c>
      <c r="E115" s="243">
        <v>470103.69899500022</v>
      </c>
      <c r="F115" s="244">
        <v>0</v>
      </c>
      <c r="G115" s="244">
        <v>0</v>
      </c>
      <c r="H115" s="50">
        <v>0</v>
      </c>
      <c r="I115" s="50"/>
      <c r="J115" s="50"/>
      <c r="K115" s="50"/>
      <c r="L115" s="50"/>
      <c r="M115" s="50"/>
      <c r="N115" s="50">
        <v>0</v>
      </c>
      <c r="O115" s="106"/>
      <c r="P115" s="50"/>
      <c r="Q115" s="347" t="s">
        <v>81</v>
      </c>
      <c r="R115" s="348" t="s">
        <v>58</v>
      </c>
      <c r="S115" s="112">
        <f>IF((-C110+C119)&gt;0,(-C110+C119),0)</f>
        <v>113061.40364000038</v>
      </c>
      <c r="T115" s="117">
        <f>IF((-C110+C119)&lt;0,(-C110+C119),0)</f>
        <v>0</v>
      </c>
    </row>
    <row r="116" spans="1:20" s="386" customFormat="1">
      <c r="A116" s="62"/>
      <c r="B116" s="59" t="s">
        <v>148</v>
      </c>
      <c r="C116" s="50">
        <v>0</v>
      </c>
      <c r="D116" s="244">
        <v>0</v>
      </c>
      <c r="E116" s="244">
        <v>0</v>
      </c>
      <c r="F116" s="244"/>
      <c r="G116" s="245"/>
      <c r="H116" s="60"/>
      <c r="I116" s="50"/>
      <c r="J116" s="87"/>
      <c r="K116" s="87"/>
      <c r="L116" s="50"/>
      <c r="M116" s="50"/>
      <c r="N116" s="50"/>
      <c r="O116" s="106"/>
      <c r="P116" s="50"/>
      <c r="Q116" s="349" t="s">
        <v>11</v>
      </c>
      <c r="R116" s="350" t="s">
        <v>62</v>
      </c>
      <c r="S116" s="112">
        <v>0</v>
      </c>
      <c r="T116" s="228">
        <v>0</v>
      </c>
    </row>
    <row r="117" spans="1:20" s="386" customFormat="1">
      <c r="A117" s="62"/>
      <c r="B117" s="59" t="s">
        <v>144</v>
      </c>
      <c r="C117" s="50">
        <f>SUM(D117:N117)</f>
        <v>0</v>
      </c>
      <c r="D117" s="161">
        <v>0</v>
      </c>
      <c r="E117" s="161"/>
      <c r="F117" s="161"/>
      <c r="G117" s="244">
        <v>0</v>
      </c>
      <c r="H117" s="105"/>
      <c r="I117" s="50"/>
      <c r="J117" s="87"/>
      <c r="K117" s="50"/>
      <c r="L117" s="50"/>
      <c r="M117" s="50"/>
      <c r="N117" s="50"/>
      <c r="O117" s="106"/>
      <c r="P117" s="50"/>
      <c r="Q117" s="349" t="s">
        <v>11</v>
      </c>
      <c r="R117" s="350" t="s">
        <v>209</v>
      </c>
      <c r="S117" s="112">
        <v>0</v>
      </c>
      <c r="T117" s="228">
        <v>0</v>
      </c>
    </row>
    <row r="118" spans="1:20" s="386" customFormat="1">
      <c r="A118" s="62"/>
      <c r="B118" s="59" t="s">
        <v>57</v>
      </c>
      <c r="C118" s="64">
        <f>SUM(D118:N118)</f>
        <v>362.22</v>
      </c>
      <c r="D118" s="64"/>
      <c r="E118" s="64"/>
      <c r="F118" s="64"/>
      <c r="G118" s="64"/>
      <c r="H118" s="64">
        <v>362.22</v>
      </c>
      <c r="I118" s="64"/>
      <c r="J118" s="64"/>
      <c r="K118" s="64"/>
      <c r="L118" s="64"/>
      <c r="M118" s="64"/>
      <c r="N118" s="64"/>
      <c r="O118" s="99">
        <v>0.01</v>
      </c>
      <c r="P118" s="50"/>
      <c r="Q118" s="342" t="s">
        <v>80</v>
      </c>
      <c r="R118" s="341" t="s">
        <v>59</v>
      </c>
      <c r="S118" s="88">
        <f>IF((-C115-C116-C117)&gt;0,(-C115-C116-C117),0)</f>
        <v>0</v>
      </c>
      <c r="T118" s="89">
        <f>IF((-C115-C116-C117)&lt;0,(-C115-C116-C117),0)</f>
        <v>-112699.18364000041</v>
      </c>
    </row>
    <row r="119" spans="1:20" s="386" customFormat="1" ht="16" thickBot="1">
      <c r="A119" s="104">
        <f>A115</f>
        <v>41487</v>
      </c>
      <c r="B119" s="50" t="s">
        <v>56</v>
      </c>
      <c r="C119" s="158">
        <f>SUM(C110:C118)</f>
        <v>491376.95469994179</v>
      </c>
      <c r="D119" s="158">
        <f>SUM(D110:D118)</f>
        <v>-1369125.4868436784</v>
      </c>
      <c r="E119" s="158">
        <f>SUM(E110:E118)</f>
        <v>1867859.1715436215</v>
      </c>
      <c r="F119" s="158">
        <f t="shared" ref="F119:H119" si="17">SUM(F110:F118)</f>
        <v>0</v>
      </c>
      <c r="G119" s="158">
        <f t="shared" si="17"/>
        <v>0</v>
      </c>
      <c r="H119" s="158">
        <f t="shared" si="17"/>
        <v>-7356.73</v>
      </c>
      <c r="I119" s="158">
        <f>SUM(I104:I118)</f>
        <v>0</v>
      </c>
      <c r="J119" s="158">
        <f>SUM(J104:J118)</f>
        <v>0</v>
      </c>
      <c r="K119" s="158">
        <f>SUM(K104:K118)</f>
        <v>0</v>
      </c>
      <c r="L119" s="158">
        <f>SUM(L104:L118)</f>
        <v>0</v>
      </c>
      <c r="M119" s="158">
        <f>SUM(M110:M118)</f>
        <v>0</v>
      </c>
      <c r="N119" s="158">
        <f>SUM(N110:N118)</f>
        <v>0</v>
      </c>
      <c r="O119" s="50"/>
      <c r="P119" s="50"/>
      <c r="Q119" s="344" t="s">
        <v>154</v>
      </c>
      <c r="R119" s="341" t="s">
        <v>77</v>
      </c>
      <c r="S119" s="88">
        <v>0</v>
      </c>
      <c r="T119" s="89">
        <f>IF(-C118&lt;0,-C118,0)</f>
        <v>-362.22</v>
      </c>
    </row>
    <row r="120" spans="1:20" s="386" customFormat="1" ht="16.5" thickTop="1" thickBot="1">
      <c r="A120" s="53"/>
      <c r="Q120" s="345" t="s">
        <v>83</v>
      </c>
      <c r="R120" s="343" t="s">
        <v>78</v>
      </c>
      <c r="S120" s="118">
        <f>IF(-C118&gt;0,-C118,0)</f>
        <v>0</v>
      </c>
      <c r="T120" s="111">
        <v>0</v>
      </c>
    </row>
    <row r="121" spans="1:20" s="386" customFormat="1">
      <c r="A121" s="53"/>
      <c r="T121" s="340">
        <f>ROUND(SUM(S115:T120),2)</f>
        <v>0</v>
      </c>
    </row>
    <row r="122" spans="1:20" ht="16" thickBot="1"/>
    <row r="123" spans="1:20" s="386" customFormat="1" ht="16" thickBot="1">
      <c r="A123" s="58"/>
      <c r="Q123" s="338" t="s">
        <v>107</v>
      </c>
      <c r="R123" s="334"/>
      <c r="S123" s="334"/>
      <c r="T123" s="229"/>
    </row>
    <row r="124" spans="1:20" s="386" customFormat="1">
      <c r="A124" s="58">
        <v>41518</v>
      </c>
      <c r="B124" s="59" t="s">
        <v>84</v>
      </c>
      <c r="C124" s="50">
        <f>SUM(D124:N124)</f>
        <v>-78276.439306000422</v>
      </c>
      <c r="D124" s="243">
        <v>-455176.44495200075</v>
      </c>
      <c r="E124" s="243">
        <v>376900.00564600033</v>
      </c>
      <c r="F124" s="244">
        <v>0</v>
      </c>
      <c r="G124" s="244">
        <v>0</v>
      </c>
      <c r="H124" s="50">
        <v>0</v>
      </c>
      <c r="I124" s="50"/>
      <c r="J124" s="50"/>
      <c r="K124" s="50"/>
      <c r="L124" s="50"/>
      <c r="M124" s="50"/>
      <c r="N124" s="50">
        <v>0</v>
      </c>
      <c r="O124" s="106"/>
      <c r="P124" s="50"/>
      <c r="Q124" s="347" t="s">
        <v>81</v>
      </c>
      <c r="R124" s="348" t="s">
        <v>58</v>
      </c>
      <c r="S124" s="112">
        <f>IF((-C119+C128)&gt;0,(-C119+C128),0)</f>
        <v>0</v>
      </c>
      <c r="T124" s="117">
        <f>IF((-C119+C128)&lt;0,(-C119+C128),0)</f>
        <v>-77899.569306000427</v>
      </c>
    </row>
    <row r="125" spans="1:20" s="386" customFormat="1">
      <c r="A125" s="62"/>
      <c r="B125" s="59" t="s">
        <v>148</v>
      </c>
      <c r="C125" s="50">
        <v>0</v>
      </c>
      <c r="D125" s="244">
        <v>0</v>
      </c>
      <c r="E125" s="244">
        <v>0</v>
      </c>
      <c r="F125" s="244"/>
      <c r="G125" s="245"/>
      <c r="H125" s="60"/>
      <c r="I125" s="50"/>
      <c r="J125" s="87"/>
      <c r="K125" s="87"/>
      <c r="L125" s="50"/>
      <c r="M125" s="50"/>
      <c r="N125" s="50"/>
      <c r="O125" s="106"/>
      <c r="P125" s="50"/>
      <c r="Q125" s="349" t="s">
        <v>11</v>
      </c>
      <c r="R125" s="350" t="s">
        <v>62</v>
      </c>
      <c r="S125" s="112">
        <v>0</v>
      </c>
      <c r="T125" s="228">
        <v>0</v>
      </c>
    </row>
    <row r="126" spans="1:20" s="386" customFormat="1">
      <c r="A126" s="62"/>
      <c r="B126" s="59" t="s">
        <v>144</v>
      </c>
      <c r="C126" s="50">
        <f>SUM(D126:N126)</f>
        <v>0</v>
      </c>
      <c r="D126" s="161">
        <v>0</v>
      </c>
      <c r="E126" s="161"/>
      <c r="F126" s="161"/>
      <c r="G126" s="244">
        <v>0</v>
      </c>
      <c r="H126" s="105"/>
      <c r="I126" s="50"/>
      <c r="J126" s="87"/>
      <c r="K126" s="50"/>
      <c r="L126" s="50"/>
      <c r="M126" s="50"/>
      <c r="N126" s="50"/>
      <c r="O126" s="106"/>
      <c r="P126" s="50"/>
      <c r="Q126" s="349" t="s">
        <v>11</v>
      </c>
      <c r="R126" s="350" t="s">
        <v>209</v>
      </c>
      <c r="S126" s="112">
        <v>0</v>
      </c>
      <c r="T126" s="228">
        <v>0</v>
      </c>
    </row>
    <row r="127" spans="1:20" s="386" customFormat="1">
      <c r="A127" s="62"/>
      <c r="B127" s="59" t="s">
        <v>57</v>
      </c>
      <c r="C127" s="64">
        <f>SUM(D127:N127)</f>
        <v>376.87</v>
      </c>
      <c r="D127" s="64"/>
      <c r="E127" s="64"/>
      <c r="F127" s="64"/>
      <c r="G127" s="64"/>
      <c r="H127" s="64">
        <f>ROUND(((C119)+(C124)/2)*(O127/12),2)</f>
        <v>376.87</v>
      </c>
      <c r="I127" s="64"/>
      <c r="J127" s="64"/>
      <c r="K127" s="64"/>
      <c r="L127" s="64"/>
      <c r="M127" s="64"/>
      <c r="N127" s="64"/>
      <c r="O127" s="99">
        <v>0.01</v>
      </c>
      <c r="P127" s="50"/>
      <c r="Q127" s="342" t="s">
        <v>80</v>
      </c>
      <c r="R127" s="341" t="s">
        <v>59</v>
      </c>
      <c r="S127" s="88">
        <f>IF((-C124-C125-C126)&gt;0,(-C124-C125-C126),0)</f>
        <v>78276.439306000422</v>
      </c>
      <c r="T127" s="89">
        <f>IF((-C124-C125-C126)&lt;0,(-C124-C125-C126),0)</f>
        <v>0</v>
      </c>
    </row>
    <row r="128" spans="1:20" s="386" customFormat="1" ht="16" thickBot="1">
      <c r="A128" s="104">
        <f>A124</f>
        <v>41518</v>
      </c>
      <c r="B128" s="50" t="s">
        <v>56</v>
      </c>
      <c r="C128" s="158">
        <f>SUM(C119:C127)</f>
        <v>413477.38539394137</v>
      </c>
      <c r="D128" s="158">
        <f>SUM(D119:D127)</f>
        <v>-1824301.931795679</v>
      </c>
      <c r="E128" s="158">
        <f>SUM(E119:E127)</f>
        <v>2244759.1771896216</v>
      </c>
      <c r="F128" s="158">
        <f t="shared" ref="F128:H128" si="18">SUM(F119:F127)</f>
        <v>0</v>
      </c>
      <c r="G128" s="158">
        <f t="shared" si="18"/>
        <v>0</v>
      </c>
      <c r="H128" s="158">
        <f t="shared" si="18"/>
        <v>-6979.86</v>
      </c>
      <c r="I128" s="158">
        <f>SUM(I113:I127)</f>
        <v>0</v>
      </c>
      <c r="J128" s="158">
        <f>SUM(J113:J127)</f>
        <v>0</v>
      </c>
      <c r="K128" s="158">
        <f>SUM(K113:K127)</f>
        <v>0</v>
      </c>
      <c r="L128" s="158">
        <f>SUM(L113:L127)</f>
        <v>0</v>
      </c>
      <c r="M128" s="158">
        <f>SUM(M119:M127)</f>
        <v>0</v>
      </c>
      <c r="N128" s="158">
        <f>SUM(N119:N127)</f>
        <v>0</v>
      </c>
      <c r="O128" s="50"/>
      <c r="P128" s="50"/>
      <c r="Q128" s="344" t="s">
        <v>154</v>
      </c>
      <c r="R128" s="341" t="s">
        <v>77</v>
      </c>
      <c r="S128" s="88">
        <v>0</v>
      </c>
      <c r="T128" s="89">
        <f>IF(-C127&lt;0,-C127,0)</f>
        <v>-376.87</v>
      </c>
    </row>
    <row r="129" spans="1:20" s="386" customFormat="1" ht="16.5" thickTop="1" thickBot="1">
      <c r="A129" s="53"/>
      <c r="Q129" s="345" t="s">
        <v>83</v>
      </c>
      <c r="R129" s="343" t="s">
        <v>78</v>
      </c>
      <c r="S129" s="118">
        <f>IF(-C127&gt;0,-C127,0)</f>
        <v>0</v>
      </c>
      <c r="T129" s="111">
        <v>0</v>
      </c>
    </row>
    <row r="130" spans="1:20" s="386" customFormat="1">
      <c r="A130" s="53"/>
      <c r="T130" s="340">
        <f>ROUND(SUM(S124:T129),2)</f>
        <v>0</v>
      </c>
    </row>
    <row r="131" spans="1:20">
      <c r="B131" s="2" t="s">
        <v>11</v>
      </c>
      <c r="C131" s="50">
        <f>SUM(D131:H131)</f>
        <v>-108659.43754694135</v>
      </c>
      <c r="D131" s="244">
        <f>-D101</f>
        <v>764537.78326267947</v>
      </c>
      <c r="E131" s="244">
        <f>-E101-0.03</f>
        <v>-881118.99080962082</v>
      </c>
      <c r="F131" s="244"/>
      <c r="G131" s="245"/>
      <c r="H131" s="60">
        <f>-H101</f>
        <v>7921.7699999999995</v>
      </c>
      <c r="I131" s="50"/>
      <c r="J131" s="87"/>
      <c r="K131" s="87"/>
      <c r="L131" s="50"/>
      <c r="M131" s="50"/>
      <c r="N131" s="50"/>
    </row>
    <row r="132" spans="1:20" s="386" customFormat="1" ht="16" thickBot="1">
      <c r="A132" s="53"/>
      <c r="B132" s="2" t="s">
        <v>229</v>
      </c>
      <c r="C132" s="158">
        <f t="shared" ref="C132:H132" si="19">SUM(C128:C131)</f>
        <v>304817.94784700003</v>
      </c>
      <c r="D132" s="158">
        <f t="shared" si="19"/>
        <v>-1059764.1485329997</v>
      </c>
      <c r="E132" s="158">
        <f t="shared" si="19"/>
        <v>1363640.1863800008</v>
      </c>
      <c r="F132" s="158">
        <f t="shared" si="19"/>
        <v>0</v>
      </c>
      <c r="G132" s="158">
        <f t="shared" si="19"/>
        <v>0</v>
      </c>
      <c r="H132" s="158">
        <f t="shared" si="19"/>
        <v>941.90999999999985</v>
      </c>
      <c r="I132" s="158">
        <f>SUM(I117:I131)</f>
        <v>0</v>
      </c>
      <c r="J132" s="158">
        <f>SUM(J117:J131)</f>
        <v>0</v>
      </c>
      <c r="K132" s="158">
        <f>SUM(K117:K131)</f>
        <v>0</v>
      </c>
      <c r="L132" s="158">
        <f>SUM(L117:L131)</f>
        <v>0</v>
      </c>
      <c r="M132" s="158">
        <f>SUM(M123:M131)</f>
        <v>0</v>
      </c>
      <c r="N132" s="158">
        <f>SUM(N123:N131)</f>
        <v>0</v>
      </c>
    </row>
    <row r="133" spans="1:20" s="386" customFormat="1" ht="16" thickTop="1">
      <c r="A133" s="53"/>
    </row>
    <row r="134" spans="1:20" s="386" customFormat="1">
      <c r="A134" s="53"/>
    </row>
    <row r="135" spans="1:20" s="386" customFormat="1" ht="16" thickBot="1">
      <c r="A135" s="53"/>
    </row>
    <row r="136" spans="1:20" s="386" customFormat="1" ht="16" thickBot="1">
      <c r="A136" s="58"/>
      <c r="Q136" s="338" t="s">
        <v>107</v>
      </c>
      <c r="R136" s="334"/>
      <c r="S136" s="334"/>
      <c r="T136" s="229"/>
    </row>
    <row r="137" spans="1:20" s="386" customFormat="1">
      <c r="A137" s="58">
        <v>41578</v>
      </c>
      <c r="B137" s="59" t="s">
        <v>84</v>
      </c>
      <c r="C137" s="50">
        <f>SUM(D137:N137)</f>
        <v>-484520.52738299966</v>
      </c>
      <c r="D137" s="243">
        <v>-566000.77746000001</v>
      </c>
      <c r="E137" s="243">
        <v>81480.250077000353</v>
      </c>
      <c r="F137" s="244">
        <v>0</v>
      </c>
      <c r="G137" s="244">
        <v>0</v>
      </c>
      <c r="H137" s="50">
        <v>0</v>
      </c>
      <c r="I137" s="50"/>
      <c r="J137" s="50"/>
      <c r="K137" s="50"/>
      <c r="L137" s="50"/>
      <c r="M137" s="50"/>
      <c r="N137" s="50">
        <v>0</v>
      </c>
      <c r="O137" s="106"/>
      <c r="P137" s="50"/>
      <c r="Q137" s="347" t="s">
        <v>81</v>
      </c>
      <c r="R137" s="348" t="s">
        <v>58</v>
      </c>
      <c r="S137" s="112">
        <f>IF((-C128+C141)&gt;0,(-C128+C141),0)</f>
        <v>0</v>
      </c>
      <c r="T137" s="117">
        <f>IF((-C128+C141)&lt;0,(-C128+C141),0)</f>
        <v>-593127.83492994099</v>
      </c>
    </row>
    <row r="138" spans="1:20" s="386" customFormat="1">
      <c r="A138" s="62"/>
      <c r="B138" s="59" t="s">
        <v>148</v>
      </c>
      <c r="C138" s="50">
        <f>SUM(D138:H138)</f>
        <v>0</v>
      </c>
      <c r="D138" s="244">
        <v>0</v>
      </c>
      <c r="E138" s="244">
        <v>0</v>
      </c>
      <c r="F138" s="244"/>
      <c r="G138" s="245"/>
      <c r="H138" s="60">
        <v>0</v>
      </c>
      <c r="I138" s="50"/>
      <c r="J138" s="87"/>
      <c r="K138" s="87"/>
      <c r="L138" s="50"/>
      <c r="M138" s="50"/>
      <c r="N138" s="50"/>
      <c r="O138" s="106"/>
      <c r="P138" s="50"/>
      <c r="Q138" s="349" t="s">
        <v>11</v>
      </c>
      <c r="R138" s="350" t="s">
        <v>62</v>
      </c>
      <c r="S138" s="112">
        <f>-C131</f>
        <v>108659.43754694135</v>
      </c>
      <c r="T138" s="228">
        <v>0</v>
      </c>
    </row>
    <row r="139" spans="1:20" s="386" customFormat="1">
      <c r="A139" s="62"/>
      <c r="B139" s="59" t="s">
        <v>144</v>
      </c>
      <c r="C139" s="50">
        <f>SUM(D139:N139)</f>
        <v>0</v>
      </c>
      <c r="D139" s="161"/>
      <c r="E139" s="161"/>
      <c r="F139" s="161"/>
      <c r="G139" s="244">
        <v>0</v>
      </c>
      <c r="H139" s="105"/>
      <c r="I139" s="50"/>
      <c r="J139" s="87"/>
      <c r="K139" s="50"/>
      <c r="L139" s="50"/>
      <c r="M139" s="50"/>
      <c r="N139" s="50"/>
      <c r="O139" s="106"/>
      <c r="P139" s="50"/>
      <c r="Q139" s="349" t="s">
        <v>11</v>
      </c>
      <c r="R139" s="350" t="s">
        <v>209</v>
      </c>
      <c r="S139" s="112">
        <v>0</v>
      </c>
      <c r="T139" s="228">
        <v>0</v>
      </c>
    </row>
    <row r="140" spans="1:20" s="386" customFormat="1">
      <c r="A140" s="62"/>
      <c r="B140" s="59" t="s">
        <v>57</v>
      </c>
      <c r="C140" s="64">
        <f>SUM(D140:N140)</f>
        <v>52.13</v>
      </c>
      <c r="D140" s="64"/>
      <c r="E140" s="64"/>
      <c r="F140" s="64"/>
      <c r="G140" s="64"/>
      <c r="H140" s="64">
        <v>52.13</v>
      </c>
      <c r="I140" s="64"/>
      <c r="J140" s="64"/>
      <c r="K140" s="64"/>
      <c r="L140" s="64"/>
      <c r="M140" s="64"/>
      <c r="N140" s="64"/>
      <c r="O140" s="99">
        <v>0.01</v>
      </c>
      <c r="P140" s="50"/>
      <c r="Q140" s="342" t="s">
        <v>80</v>
      </c>
      <c r="R140" s="341" t="s">
        <v>59</v>
      </c>
      <c r="S140" s="88">
        <f>IF((-C137-C138-C139)&gt;0,(-C137-C138-C139),0)</f>
        <v>484520.52738299966</v>
      </c>
      <c r="T140" s="89">
        <f>IF((-C137-C138-C139)&lt;0,(-C137-C138-C139),0)</f>
        <v>0</v>
      </c>
    </row>
    <row r="141" spans="1:20" s="386" customFormat="1" ht="16" thickBot="1">
      <c r="A141" s="104">
        <f>A137</f>
        <v>41578</v>
      </c>
      <c r="B141" s="50" t="s">
        <v>56</v>
      </c>
      <c r="C141" s="158">
        <f t="shared" ref="C141:H141" si="20">SUM(C132:C140)</f>
        <v>-179650.44953599962</v>
      </c>
      <c r="D141" s="158">
        <f t="shared" si="20"/>
        <v>-1625764.9259929997</v>
      </c>
      <c r="E141" s="158">
        <f t="shared" si="20"/>
        <v>1445120.4364570011</v>
      </c>
      <c r="F141" s="158">
        <f t="shared" si="20"/>
        <v>0</v>
      </c>
      <c r="G141" s="158">
        <f t="shared" si="20"/>
        <v>0</v>
      </c>
      <c r="H141" s="158">
        <f t="shared" si="20"/>
        <v>994.03999999999985</v>
      </c>
      <c r="I141" s="158">
        <f>SUM(I122:I140)</f>
        <v>0</v>
      </c>
      <c r="J141" s="158">
        <f>SUM(J122:J140)</f>
        <v>0</v>
      </c>
      <c r="K141" s="158">
        <f>SUM(K122:K140)</f>
        <v>0</v>
      </c>
      <c r="L141" s="158">
        <f>SUM(L122:L140)</f>
        <v>0</v>
      </c>
      <c r="M141" s="158">
        <f>SUM(M128:M140)</f>
        <v>0</v>
      </c>
      <c r="N141" s="158">
        <f>SUM(N128:N140)</f>
        <v>0</v>
      </c>
      <c r="O141" s="50"/>
      <c r="P141" s="50"/>
      <c r="Q141" s="344" t="s">
        <v>154</v>
      </c>
      <c r="R141" s="341" t="s">
        <v>77</v>
      </c>
      <c r="S141" s="88">
        <v>0</v>
      </c>
      <c r="T141" s="89">
        <f>IF(-C140&lt;0,-C140,0)</f>
        <v>-52.13</v>
      </c>
    </row>
    <row r="142" spans="1:20" s="386" customFormat="1" ht="16.5" thickTop="1" thickBot="1">
      <c r="A142" s="53"/>
      <c r="Q142" s="345" t="s">
        <v>83</v>
      </c>
      <c r="R142" s="343" t="s">
        <v>78</v>
      </c>
      <c r="S142" s="118">
        <f>IF(-C140&gt;0,-C140,0)</f>
        <v>0</v>
      </c>
      <c r="T142" s="111">
        <v>0</v>
      </c>
    </row>
    <row r="143" spans="1:20" s="386" customFormat="1">
      <c r="A143" s="53"/>
      <c r="T143" s="340">
        <f>ROUND(SUM(S137:T142),2)</f>
        <v>0</v>
      </c>
    </row>
    <row r="144" spans="1:20" s="386" customFormat="1" ht="16" thickBot="1">
      <c r="A144" s="53"/>
    </row>
    <row r="145" spans="1:20" s="386" customFormat="1" ht="16" thickBot="1">
      <c r="A145" s="58"/>
      <c r="Q145" s="338" t="s">
        <v>107</v>
      </c>
      <c r="R145" s="334"/>
      <c r="S145" s="334"/>
      <c r="T145" s="229"/>
    </row>
    <row r="146" spans="1:20" s="386" customFormat="1">
      <c r="A146" s="58">
        <f>EOMONTH(A141,1)</f>
        <v>41608</v>
      </c>
      <c r="B146" s="59" t="s">
        <v>84</v>
      </c>
      <c r="C146" s="50">
        <f>SUM(D146:N146)</f>
        <v>-593071.07474399754</v>
      </c>
      <c r="D146" s="243">
        <v>-244467.20447699772</v>
      </c>
      <c r="E146" s="243">
        <v>-348603.87026699982</v>
      </c>
      <c r="F146" s="244">
        <v>0</v>
      </c>
      <c r="G146" s="244">
        <v>0</v>
      </c>
      <c r="H146" s="50">
        <v>0</v>
      </c>
      <c r="I146" s="50"/>
      <c r="J146" s="50"/>
      <c r="K146" s="50"/>
      <c r="L146" s="50"/>
      <c r="M146" s="50"/>
      <c r="N146" s="50">
        <v>0</v>
      </c>
      <c r="O146" s="106"/>
      <c r="P146" s="50"/>
      <c r="Q146" s="347" t="s">
        <v>81</v>
      </c>
      <c r="R146" s="348" t="s">
        <v>58</v>
      </c>
      <c r="S146" s="112">
        <f>IF((-C141+C150)&gt;0,(-C141+C150),0)</f>
        <v>0</v>
      </c>
      <c r="T146" s="117">
        <f>IF((-C141+C150)&lt;0,(-C141+C150),0)</f>
        <v>-591098.89221899747</v>
      </c>
    </row>
    <row r="147" spans="1:20" s="386" customFormat="1">
      <c r="A147" s="62"/>
      <c r="B147" s="59" t="s">
        <v>148</v>
      </c>
      <c r="C147" s="50">
        <f>SUM(D147:H147)</f>
        <v>2369.0025250000003</v>
      </c>
      <c r="D147" s="244">
        <v>2367.0300000000002</v>
      </c>
      <c r="E147" s="244">
        <v>0</v>
      </c>
      <c r="F147" s="244"/>
      <c r="G147" s="245"/>
      <c r="H147" s="60">
        <v>1.9725250000000001</v>
      </c>
      <c r="I147" s="50"/>
      <c r="J147" s="87"/>
      <c r="K147" s="87"/>
      <c r="L147" s="50"/>
      <c r="M147" s="50"/>
      <c r="N147" s="50"/>
      <c r="O147" s="106"/>
      <c r="P147" s="50"/>
      <c r="Q147" s="349" t="s">
        <v>11</v>
      </c>
      <c r="R147" s="350" t="s">
        <v>62</v>
      </c>
      <c r="S147" s="112">
        <v>0</v>
      </c>
      <c r="T147" s="228">
        <v>0</v>
      </c>
    </row>
    <row r="148" spans="1:20" s="386" customFormat="1">
      <c r="A148" s="62"/>
      <c r="B148" s="59" t="s">
        <v>144</v>
      </c>
      <c r="C148" s="50">
        <f>SUM(D148:N148)</f>
        <v>0</v>
      </c>
      <c r="D148" s="161"/>
      <c r="E148" s="161"/>
      <c r="F148" s="161"/>
      <c r="G148" s="244">
        <v>0</v>
      </c>
      <c r="H148" s="105"/>
      <c r="I148" s="50"/>
      <c r="J148" s="87"/>
      <c r="K148" s="50"/>
      <c r="L148" s="50"/>
      <c r="M148" s="50"/>
      <c r="N148" s="50"/>
      <c r="O148" s="106"/>
      <c r="P148" s="50"/>
      <c r="Q148" s="349" t="s">
        <v>11</v>
      </c>
      <c r="R148" s="350" t="s">
        <v>209</v>
      </c>
      <c r="S148" s="112">
        <v>0</v>
      </c>
      <c r="T148" s="228">
        <v>0</v>
      </c>
    </row>
    <row r="149" spans="1:20" s="386" customFormat="1">
      <c r="A149" s="62"/>
      <c r="B149" s="59" t="s">
        <v>57</v>
      </c>
      <c r="C149" s="64">
        <f>SUM(D149:N149)</f>
        <v>-396.82</v>
      </c>
      <c r="D149" s="64"/>
      <c r="E149" s="64"/>
      <c r="F149" s="64"/>
      <c r="G149" s="64"/>
      <c r="H149" s="64">
        <v>-396.82</v>
      </c>
      <c r="I149" s="64"/>
      <c r="J149" s="64"/>
      <c r="K149" s="64"/>
      <c r="L149" s="64"/>
      <c r="M149" s="64"/>
      <c r="N149" s="64"/>
      <c r="O149" s="99">
        <v>0.01</v>
      </c>
      <c r="P149" s="50"/>
      <c r="Q149" s="342" t="s">
        <v>80</v>
      </c>
      <c r="R149" s="341" t="s">
        <v>59</v>
      </c>
      <c r="S149" s="88">
        <f>IF((-C146-C147-C148)&gt;0,(-C146-C147-C148),0)</f>
        <v>590702.07221899752</v>
      </c>
      <c r="T149" s="89">
        <f>IF((-C146-C147-C148)&lt;0,(-C146-C147-C148),0)</f>
        <v>0</v>
      </c>
    </row>
    <row r="150" spans="1:20" s="386" customFormat="1" ht="16" thickBot="1">
      <c r="A150" s="104">
        <f>A146</f>
        <v>41608</v>
      </c>
      <c r="B150" s="50" t="s">
        <v>56</v>
      </c>
      <c r="C150" s="158">
        <f t="shared" ref="C150:H150" si="21">SUM(C141:C149)</f>
        <v>-770749.34175499715</v>
      </c>
      <c r="D150" s="158">
        <f t="shared" si="21"/>
        <v>-1867865.1004699974</v>
      </c>
      <c r="E150" s="158">
        <f t="shared" si="21"/>
        <v>1096516.5661900013</v>
      </c>
      <c r="F150" s="158">
        <f t="shared" si="21"/>
        <v>0</v>
      </c>
      <c r="G150" s="158">
        <f t="shared" si="21"/>
        <v>0</v>
      </c>
      <c r="H150" s="158">
        <f t="shared" si="21"/>
        <v>599.19252499999993</v>
      </c>
      <c r="I150" s="158">
        <f>SUM(I131:I149)</f>
        <v>0</v>
      </c>
      <c r="J150" s="158">
        <f>SUM(J131:J149)</f>
        <v>0</v>
      </c>
      <c r="K150" s="158">
        <f>SUM(K131:K149)</f>
        <v>0</v>
      </c>
      <c r="L150" s="158">
        <f>SUM(L131:L149)</f>
        <v>0</v>
      </c>
      <c r="M150" s="158">
        <f>SUM(M137:M149)</f>
        <v>0</v>
      </c>
      <c r="N150" s="158">
        <f>SUM(N137:N149)</f>
        <v>0</v>
      </c>
      <c r="O150" s="50"/>
      <c r="P150" s="50"/>
      <c r="Q150" s="344" t="s">
        <v>154</v>
      </c>
      <c r="R150" s="341" t="s">
        <v>77</v>
      </c>
      <c r="S150" s="88">
        <v>0</v>
      </c>
      <c r="T150" s="89">
        <f>IF(-C149&lt;0,-C149,0)</f>
        <v>0</v>
      </c>
    </row>
    <row r="151" spans="1:20" s="386" customFormat="1" ht="16.5" thickTop="1" thickBot="1">
      <c r="A151" s="53"/>
      <c r="Q151" s="345" t="s">
        <v>83</v>
      </c>
      <c r="R151" s="343" t="s">
        <v>78</v>
      </c>
      <c r="S151" s="118">
        <f>IF(-C149&gt;0,-C149,0)</f>
        <v>396.82</v>
      </c>
      <c r="T151" s="111">
        <v>0</v>
      </c>
    </row>
    <row r="152" spans="1:20" s="386" customFormat="1">
      <c r="A152" s="53"/>
      <c r="T152" s="340">
        <f>ROUND(SUM(S146:T151),2)</f>
        <v>0</v>
      </c>
    </row>
    <row r="153" spans="1:20" s="386" customFormat="1" ht="16" thickBot="1">
      <c r="A153" s="53"/>
    </row>
    <row r="154" spans="1:20" s="386" customFormat="1" ht="16" thickBot="1">
      <c r="A154" s="58"/>
      <c r="Q154" s="338" t="s">
        <v>240</v>
      </c>
      <c r="R154" s="334"/>
      <c r="S154" s="334"/>
      <c r="T154" s="229"/>
    </row>
    <row r="155" spans="1:20" s="386" customFormat="1">
      <c r="A155" s="58">
        <f>EOMONTH(A150,1)</f>
        <v>41639</v>
      </c>
      <c r="B155" s="59" t="s">
        <v>84</v>
      </c>
      <c r="C155" s="50">
        <f>SUM(D155:N155)</f>
        <v>-302757.41784000106</v>
      </c>
      <c r="D155" s="243">
        <f>Jan!$J$53</f>
        <v>331968.15844599903</v>
      </c>
      <c r="E155" s="243">
        <f>Jan!$K$53</f>
        <v>-634725.57628600008</v>
      </c>
      <c r="F155" s="244">
        <v>0</v>
      </c>
      <c r="G155" s="244">
        <v>0</v>
      </c>
      <c r="H155" s="50">
        <v>0</v>
      </c>
      <c r="I155" s="50"/>
      <c r="J155" s="50"/>
      <c r="K155" s="50"/>
      <c r="L155" s="50"/>
      <c r="M155" s="50"/>
      <c r="N155" s="50">
        <v>0</v>
      </c>
      <c r="O155" s="106"/>
      <c r="P155" s="50"/>
      <c r="Q155" s="347" t="s">
        <v>81</v>
      </c>
      <c r="R155" s="348" t="s">
        <v>58</v>
      </c>
      <c r="S155" s="112">
        <f>IF((-C150+C159)&gt;0,(-C150+C159),0)</f>
        <v>0</v>
      </c>
      <c r="T155" s="117">
        <f>IF((-C150+C159)&lt;0,(-C150+C159),0)</f>
        <v>-303525.85784000112</v>
      </c>
    </row>
    <row r="156" spans="1:20" s="386" customFormat="1">
      <c r="A156" s="62"/>
      <c r="B156" s="59" t="s">
        <v>236</v>
      </c>
      <c r="C156" s="50">
        <f>SUM(D156:H156)</f>
        <v>0</v>
      </c>
      <c r="D156" s="244">
        <v>0</v>
      </c>
      <c r="E156" s="244">
        <v>0</v>
      </c>
      <c r="F156" s="244"/>
      <c r="G156" s="245"/>
      <c r="H156" s="105">
        <v>0</v>
      </c>
      <c r="I156" s="50"/>
      <c r="J156" s="87"/>
      <c r="K156" s="87"/>
      <c r="L156" s="50"/>
      <c r="M156" s="50"/>
      <c r="N156" s="50"/>
      <c r="O156" s="106"/>
      <c r="P156" s="50"/>
      <c r="Q156" s="349" t="s">
        <v>11</v>
      </c>
      <c r="R156" s="350" t="s">
        <v>62</v>
      </c>
      <c r="S156" s="112">
        <v>0</v>
      </c>
      <c r="T156" s="228">
        <v>0</v>
      </c>
    </row>
    <row r="157" spans="1:20" s="386" customFormat="1">
      <c r="A157" s="62"/>
      <c r="B157" s="59" t="s">
        <v>144</v>
      </c>
      <c r="C157" s="50">
        <f>SUM(D157:N157)</f>
        <v>0</v>
      </c>
      <c r="D157" s="161"/>
      <c r="E157" s="161"/>
      <c r="F157" s="161"/>
      <c r="G157" s="244">
        <v>0</v>
      </c>
      <c r="H157" s="105">
        <v>0</v>
      </c>
      <c r="I157" s="50"/>
      <c r="J157" s="87"/>
      <c r="K157" s="50"/>
      <c r="L157" s="50"/>
      <c r="M157" s="50"/>
      <c r="N157" s="50"/>
      <c r="O157" s="106"/>
      <c r="P157" s="50"/>
      <c r="Q157" s="349" t="s">
        <v>11</v>
      </c>
      <c r="R157" s="350" t="s">
        <v>209</v>
      </c>
      <c r="S157" s="112">
        <v>0</v>
      </c>
      <c r="T157" s="228">
        <v>0</v>
      </c>
    </row>
    <row r="158" spans="1:20" s="386" customFormat="1">
      <c r="A158" s="62"/>
      <c r="B158" s="59" t="s">
        <v>57</v>
      </c>
      <c r="C158" s="64">
        <f>SUM(D158:N158)</f>
        <v>-768.44</v>
      </c>
      <c r="D158" s="64"/>
      <c r="E158" s="64"/>
      <c r="F158" s="64"/>
      <c r="G158" s="64"/>
      <c r="H158" s="64">
        <f>ROUND(((C150)+(C155)/2)*(O158/12),2)</f>
        <v>-768.44</v>
      </c>
      <c r="I158" s="64"/>
      <c r="J158" s="64"/>
      <c r="K158" s="64"/>
      <c r="L158" s="64"/>
      <c r="M158" s="64"/>
      <c r="N158" s="64"/>
      <c r="O158" s="99">
        <v>0.01</v>
      </c>
      <c r="P158" s="50"/>
      <c r="Q158" s="342" t="s">
        <v>80</v>
      </c>
      <c r="R158" s="341" t="s">
        <v>59</v>
      </c>
      <c r="S158" s="88">
        <f>IF((-C155-C157)&gt;0,(-C155-C157),0)</f>
        <v>302757.41784000106</v>
      </c>
      <c r="T158" s="89">
        <f>IF((-C155-C156-C157)&lt;0,(-C155-C156-C157),0)</f>
        <v>0</v>
      </c>
    </row>
    <row r="159" spans="1:20" s="386" customFormat="1" ht="16" thickBot="1">
      <c r="A159" s="104">
        <f>A155</f>
        <v>41639</v>
      </c>
      <c r="B159" s="50" t="s">
        <v>56</v>
      </c>
      <c r="C159" s="158">
        <f>SUM(C150:C158)</f>
        <v>-1074275.1995949983</v>
      </c>
      <c r="D159" s="158">
        <f t="shared" ref="D159" si="22">SUM(D150:D158)</f>
        <v>-1535896.9420239984</v>
      </c>
      <c r="E159" s="158">
        <f t="shared" ref="E159" si="23">SUM(E150:E158)</f>
        <v>461790.98990400124</v>
      </c>
      <c r="F159" s="158">
        <f t="shared" ref="F159" si="24">SUM(F150:F158)</f>
        <v>0</v>
      </c>
      <c r="G159" s="158">
        <f t="shared" ref="G159" si="25">SUM(G150:G158)</f>
        <v>0</v>
      </c>
      <c r="H159" s="158">
        <f t="shared" ref="H159" si="26">SUM(H150:H158)</f>
        <v>-169.24747500000012</v>
      </c>
      <c r="I159" s="158">
        <f>SUM(I140:I158)</f>
        <v>0</v>
      </c>
      <c r="J159" s="158">
        <f>SUM(J140:J158)</f>
        <v>0</v>
      </c>
      <c r="K159" s="158">
        <f>SUM(K140:K158)</f>
        <v>0</v>
      </c>
      <c r="L159" s="158">
        <f>SUM(L140:L158)</f>
        <v>0</v>
      </c>
      <c r="M159" s="158">
        <f>SUM(M146:M158)</f>
        <v>0</v>
      </c>
      <c r="N159" s="158">
        <f>SUM(N146:N158)</f>
        <v>0</v>
      </c>
      <c r="O159" s="50"/>
      <c r="P159" s="50"/>
      <c r="Q159" s="344" t="s">
        <v>154</v>
      </c>
      <c r="R159" s="341" t="s">
        <v>77</v>
      </c>
      <c r="S159" s="88">
        <v>0</v>
      </c>
      <c r="T159" s="89">
        <f>IF(-C158&lt;0,-C158,0)</f>
        <v>0</v>
      </c>
    </row>
    <row r="160" spans="1:20" s="386" customFormat="1" ht="16.5" thickTop="1" thickBot="1">
      <c r="A160" s="53"/>
      <c r="B160" s="9" t="s">
        <v>249</v>
      </c>
      <c r="C160" s="386">
        <f>SUM(D160:H160)</f>
        <v>-487553.62</v>
      </c>
      <c r="D160" s="243"/>
      <c r="E160" s="243">
        <v>-481637.67</v>
      </c>
      <c r="F160" s="244"/>
      <c r="G160" s="244"/>
      <c r="H160" s="50">
        <v>-5915.95</v>
      </c>
      <c r="Q160" s="345" t="s">
        <v>83</v>
      </c>
      <c r="R160" s="343" t="s">
        <v>78</v>
      </c>
      <c r="S160" s="118">
        <f>IF(-C158&gt;0,-C158,0)</f>
        <v>768.44</v>
      </c>
      <c r="T160" s="111">
        <v>0</v>
      </c>
    </row>
    <row r="161" spans="1:20" s="386" customFormat="1">
      <c r="A161" s="53"/>
      <c r="B161" s="9" t="s">
        <v>243</v>
      </c>
      <c r="C161" s="476">
        <f>SUM(C159:C160)</f>
        <v>-1561828.8195949984</v>
      </c>
      <c r="D161" s="476">
        <f>D160+D159</f>
        <v>-1535896.9420239984</v>
      </c>
      <c r="E161" s="476">
        <f>E160+E159</f>
        <v>-19846.680095998745</v>
      </c>
      <c r="F161" s="476">
        <f>F160+F159</f>
        <v>0</v>
      </c>
      <c r="G161" s="476">
        <f>G160+G159</f>
        <v>0</v>
      </c>
      <c r="H161" s="476">
        <f>H160+H159</f>
        <v>-6085.1974749999999</v>
      </c>
      <c r="I161" s="476"/>
      <c r="J161" s="476"/>
      <c r="K161" s="476"/>
      <c r="L161" s="476"/>
      <c r="M161" s="476">
        <f>M160+M159</f>
        <v>0</v>
      </c>
      <c r="N161" s="476">
        <f>N160+N159</f>
        <v>0</v>
      </c>
      <c r="S161" s="66"/>
      <c r="T161" s="340">
        <f>ROUND(SUM(S155:T160),2)</f>
        <v>0</v>
      </c>
    </row>
    <row r="162" spans="1:20" ht="16" thickBot="1">
      <c r="B162" s="9" t="s">
        <v>244</v>
      </c>
      <c r="C162" s="386" t="e">
        <f ca="1">_xll.Get_Balance("201312","YTD","USD","Total","A","","001","191010","GD","ID","DL")</f>
        <v>#NAME?</v>
      </c>
      <c r="D162" s="386"/>
      <c r="E162" s="386"/>
      <c r="F162" s="386"/>
      <c r="G162" s="386"/>
      <c r="H162" s="386"/>
      <c r="M162" s="386"/>
      <c r="N162" s="386"/>
    </row>
    <row r="163" spans="1:20" ht="16" thickBot="1">
      <c r="B163" s="9" t="s">
        <v>245</v>
      </c>
      <c r="C163" s="158" t="e">
        <f ca="1">C161-C162</f>
        <v>#NAME?</v>
      </c>
      <c r="D163" s="386"/>
      <c r="E163" s="386"/>
      <c r="F163" s="386"/>
      <c r="G163" s="386"/>
      <c r="H163" s="386"/>
      <c r="I163" s="386"/>
      <c r="J163" s="386"/>
      <c r="K163" s="386"/>
      <c r="L163" s="386"/>
      <c r="M163" s="386"/>
      <c r="N163" s="386"/>
      <c r="Q163" s="338" t="s">
        <v>241</v>
      </c>
      <c r="R163" s="334"/>
      <c r="S163" s="334"/>
      <c r="T163" s="229"/>
    </row>
    <row r="164" spans="1:20" ht="16" thickTop="1">
      <c r="D164" s="386"/>
      <c r="E164" s="386"/>
      <c r="F164" s="386"/>
      <c r="G164" s="386"/>
      <c r="H164" s="386"/>
      <c r="I164" s="386"/>
      <c r="J164" s="386"/>
      <c r="K164" s="386"/>
      <c r="L164" s="386"/>
      <c r="M164" s="386"/>
      <c r="N164" s="386"/>
      <c r="Q164" s="347" t="s">
        <v>81</v>
      </c>
      <c r="R164" s="348" t="s">
        <v>58</v>
      </c>
      <c r="S164" s="112">
        <v>0</v>
      </c>
      <c r="T164" s="117">
        <v>-1943728.32</v>
      </c>
    </row>
    <row r="165" spans="1:20">
      <c r="Q165" s="349" t="s">
        <v>11</v>
      </c>
      <c r="R165" s="350" t="s">
        <v>62</v>
      </c>
      <c r="S165" s="112">
        <v>0</v>
      </c>
      <c r="T165" s="228">
        <v>0</v>
      </c>
    </row>
    <row r="166" spans="1:20">
      <c r="Q166" s="349" t="s">
        <v>11</v>
      </c>
      <c r="R166" s="350" t="s">
        <v>209</v>
      </c>
      <c r="S166" s="112">
        <v>0</v>
      </c>
      <c r="T166" s="228">
        <v>0</v>
      </c>
    </row>
    <row r="167" spans="1:20">
      <c r="Q167" s="342" t="s">
        <v>80</v>
      </c>
      <c r="R167" s="341" t="s">
        <v>59</v>
      </c>
      <c r="S167" s="88">
        <v>1942276.75</v>
      </c>
      <c r="T167" s="89">
        <f>IF((-C164-C165-C166)&lt;0,(-C164-C165-C166),0)</f>
        <v>0</v>
      </c>
    </row>
    <row r="168" spans="1:20">
      <c r="Q168" s="344" t="s">
        <v>154</v>
      </c>
      <c r="R168" s="341" t="s">
        <v>77</v>
      </c>
      <c r="S168" s="88">
        <v>0</v>
      </c>
      <c r="T168" s="89">
        <f>IF(-C167&lt;0,-C167,0)</f>
        <v>0</v>
      </c>
    </row>
    <row r="169" spans="1:20" ht="16" thickBot="1">
      <c r="Q169" s="345" t="s">
        <v>83</v>
      </c>
      <c r="R169" s="343" t="s">
        <v>78</v>
      </c>
      <c r="S169" s="118">
        <v>1451.57</v>
      </c>
      <c r="T169" s="111">
        <v>0</v>
      </c>
    </row>
    <row r="170" spans="1:20">
      <c r="Q170" s="386"/>
      <c r="R170" s="386"/>
      <c r="S170" s="66"/>
      <c r="T170" s="340">
        <f>ROUND(SUM(S164:T169),2)</f>
        <v>0</v>
      </c>
    </row>
    <row r="171" spans="1:20" ht="16" thickBot="1"/>
    <row r="172" spans="1:20" ht="16" thickBot="1">
      <c r="Q172" s="338" t="s">
        <v>242</v>
      </c>
      <c r="R172" s="334"/>
      <c r="S172" s="334"/>
      <c r="T172" s="229"/>
    </row>
    <row r="173" spans="1:20">
      <c r="Q173" s="347" t="s">
        <v>81</v>
      </c>
      <c r="R173" s="348" t="s">
        <v>58</v>
      </c>
      <c r="S173" s="112">
        <f>T155-T164</f>
        <v>1640202.4621599989</v>
      </c>
      <c r="T173" s="117">
        <f>IF((-C168+C177)&lt;0,(-C168+C177),0)</f>
        <v>0</v>
      </c>
    </row>
    <row r="174" spans="1:20">
      <c r="Q174" s="349" t="s">
        <v>11</v>
      </c>
      <c r="R174" s="350" t="s">
        <v>62</v>
      </c>
      <c r="S174" s="112">
        <v>0</v>
      </c>
      <c r="T174" s="228">
        <v>0</v>
      </c>
    </row>
    <row r="175" spans="1:20">
      <c r="Q175" s="349" t="s">
        <v>11</v>
      </c>
      <c r="R175" s="350" t="s">
        <v>209</v>
      </c>
      <c r="S175" s="112">
        <v>0</v>
      </c>
      <c r="T175" s="228">
        <v>0</v>
      </c>
    </row>
    <row r="176" spans="1:20">
      <c r="Q176" s="342" t="s">
        <v>80</v>
      </c>
      <c r="R176" s="341" t="s">
        <v>59</v>
      </c>
      <c r="S176" s="88">
        <f>IF((-C173-C175)&gt;0,(-C173-C175),0)</f>
        <v>0</v>
      </c>
      <c r="T176" s="89">
        <f>S158-S167</f>
        <v>-1639519.3321599988</v>
      </c>
    </row>
    <row r="177" spans="17:20">
      <c r="Q177" s="344" t="s">
        <v>154</v>
      </c>
      <c r="R177" s="341" t="s">
        <v>77</v>
      </c>
      <c r="S177" s="88">
        <v>0</v>
      </c>
      <c r="T177" s="89">
        <f>IF(-C176&lt;0,-C176,0)</f>
        <v>0</v>
      </c>
    </row>
    <row r="178" spans="17:20" ht="16" thickBot="1">
      <c r="Q178" s="345" t="s">
        <v>83</v>
      </c>
      <c r="R178" s="343" t="s">
        <v>78</v>
      </c>
      <c r="S178" s="118">
        <f>IF(-C176&gt;0,-C176,0)</f>
        <v>0</v>
      </c>
      <c r="T178" s="111">
        <f>S160-S169</f>
        <v>-683.12999999999988</v>
      </c>
    </row>
    <row r="179" spans="17:20">
      <c r="Q179" s="386"/>
      <c r="R179" s="386"/>
      <c r="S179" s="66"/>
      <c r="T179" s="340">
        <f>ROUND(SUM(S173:T178),2)</f>
        <v>0</v>
      </c>
    </row>
    <row r="1058" spans="3:3">
      <c r="C1058" s="1">
        <v>-2130</v>
      </c>
    </row>
    <row r="1066" spans="3:3">
      <c r="C1066" s="1">
        <f>7004298-2130</f>
        <v>7002168</v>
      </c>
    </row>
  </sheetData>
  <mergeCells count="1">
    <mergeCell ref="A32:O32"/>
  </mergeCells>
  <phoneticPr fontId="0" type="noConversion"/>
  <conditionalFormatting sqref="T31 T22 T49 T40 T58">
    <cfRule type="cellIs" dxfId="109" priority="258" stopIfTrue="1" operator="equal">
      <formula>0</formula>
    </cfRule>
    <cfRule type="cellIs" dxfId="108" priority="259" stopIfTrue="1" operator="notEqual">
      <formula>0</formula>
    </cfRule>
  </conditionalFormatting>
  <conditionalFormatting sqref="T31 T22 T49 T40 T58">
    <cfRule type="cellIs" dxfId="107" priority="236" stopIfTrue="1" operator="equal">
      <formula>0</formula>
    </cfRule>
  </conditionalFormatting>
  <printOptions gridLinesSet="0"/>
  <pageMargins left="0.18" right="0" top="0.5" bottom="0.5" header="0.5" footer="0.25"/>
  <pageSetup scale="19" orientation="landscape" horizontalDpi="300" verticalDpi="300" r:id="rId1"/>
  <headerFooter alignWithMargins="0">
    <oddFooter>&amp;L&amp;F&amp;C&amp;A&amp;R&amp;D 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1">
    <pageSetUpPr fitToPage="1"/>
  </sheetPr>
  <dimension ref="A1:T1153"/>
  <sheetViews>
    <sheetView showGridLines="0" view="pageBreakPreview" zoomScaleNormal="100" zoomScaleSheetLayoutView="100" workbookViewId="0">
      <pane ySplit="7" topLeftCell="A86" activePane="bottomLeft" state="frozen"/>
      <selection activeCell="G51" sqref="G51:J55"/>
      <selection pane="bottomLeft" activeCell="G51" sqref="G51:J55"/>
    </sheetView>
  </sheetViews>
  <sheetFormatPr defaultColWidth="9.69921875" defaultRowHeight="15.5"/>
  <cols>
    <col min="1" max="1" width="11.3984375" style="53" customWidth="1"/>
    <col min="2" max="2" width="27.09765625" style="333" customWidth="1"/>
    <col min="3" max="3" width="18.3984375" style="333" customWidth="1"/>
    <col min="4" max="4" width="19.09765625" style="333" bestFit="1" customWidth="1"/>
    <col min="5" max="5" width="19.3984375" style="333" bestFit="1" customWidth="1"/>
    <col min="6" max="7" width="13.09765625" style="333" customWidth="1"/>
    <col min="8" max="8" width="16.69921875" style="333" bestFit="1" customWidth="1"/>
    <col min="9" max="9" width="14.3984375" style="333" hidden="1" customWidth="1"/>
    <col min="10" max="10" width="13.296875" style="333" hidden="1" customWidth="1"/>
    <col min="11" max="11" width="15.09765625" style="333" hidden="1" customWidth="1"/>
    <col min="12" max="12" width="18.09765625" style="333" hidden="1" customWidth="1"/>
    <col min="13" max="14" width="12.59765625" style="333" customWidth="1"/>
    <col min="15" max="15" width="11.296875" style="333" customWidth="1"/>
    <col min="16" max="16" width="2.296875" style="333" customWidth="1"/>
    <col min="17" max="17" width="26.8984375" style="333" customWidth="1"/>
    <col min="18" max="18" width="16.3984375" style="333" customWidth="1"/>
    <col min="19" max="19" width="17" style="333" customWidth="1"/>
    <col min="20" max="20" width="19.69921875" style="333" customWidth="1"/>
    <col min="21" max="16384" width="9.69921875" style="333"/>
  </cols>
  <sheetData>
    <row r="1" spans="1:20">
      <c r="A1" s="51" t="s">
        <v>13</v>
      </c>
      <c r="M1" s="41"/>
    </row>
    <row r="2" spans="1:20">
      <c r="A2" s="51" t="s">
        <v>46</v>
      </c>
    </row>
    <row r="3" spans="1:20">
      <c r="A3" s="51" t="s">
        <v>203</v>
      </c>
    </row>
    <row r="4" spans="1:20">
      <c r="A4" s="51" t="s">
        <v>204</v>
      </c>
    </row>
    <row r="5" spans="1:20">
      <c r="Q5" s="267"/>
      <c r="R5" s="5"/>
      <c r="S5" s="5"/>
      <c r="T5" s="5"/>
    </row>
    <row r="6" spans="1:20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0" s="55" customFormat="1" ht="15.75" customHeight="1">
      <c r="A7" s="54"/>
      <c r="C7" s="55" t="s">
        <v>205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0" s="384" customFormat="1" ht="15.75" hidden="1" customHeight="1">
      <c r="A8" s="382"/>
      <c r="B8" s="249" t="s">
        <v>11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T8" s="376"/>
    </row>
    <row r="9" spans="1:20" s="384" customFormat="1" ht="16.5" hidden="1" customHeight="1" thickBot="1">
      <c r="A9" s="382"/>
      <c r="B9" s="249" t="s">
        <v>206</v>
      </c>
      <c r="C9" s="385">
        <v>-1550000</v>
      </c>
      <c r="D9" s="385">
        <f>-'ID Def 191010'!D10</f>
        <v>-883736.20005990437</v>
      </c>
      <c r="E9" s="385">
        <f>-'ID Def 191010'!E10</f>
        <v>-659271.7478600872</v>
      </c>
      <c r="F9" s="385">
        <v>0</v>
      </c>
      <c r="G9" s="385">
        <v>0</v>
      </c>
      <c r="H9" s="385">
        <f>-'ID Def 191010'!H10</f>
        <v>-6992.0520800084523</v>
      </c>
      <c r="I9" s="385">
        <v>0</v>
      </c>
      <c r="J9" s="385">
        <v>0</v>
      </c>
      <c r="K9" s="385">
        <v>0</v>
      </c>
      <c r="L9" s="385">
        <v>0</v>
      </c>
      <c r="M9" s="385">
        <v>0</v>
      </c>
      <c r="N9" s="385">
        <v>0</v>
      </c>
      <c r="T9" s="376"/>
    </row>
    <row r="10" spans="1:20" s="55" customFormat="1" ht="15.75" hidden="1" customHeight="1" thickTop="1" thickBot="1">
      <c r="A10" s="54"/>
    </row>
    <row r="11" spans="1:20" ht="15.75" hidden="1" customHeight="1" thickBot="1">
      <c r="Q11" s="338" t="s">
        <v>107</v>
      </c>
      <c r="R11" s="334"/>
      <c r="S11" s="334"/>
      <c r="T11" s="229"/>
    </row>
    <row r="12" spans="1:20" ht="15.75" hidden="1" customHeight="1">
      <c r="A12" s="58">
        <v>41183</v>
      </c>
      <c r="B12" s="59" t="s">
        <v>84</v>
      </c>
      <c r="C12" s="11">
        <v>0</v>
      </c>
      <c r="D12" s="250">
        <v>0</v>
      </c>
      <c r="E12" s="250">
        <v>0</v>
      </c>
      <c r="F12" s="251">
        <v>0</v>
      </c>
      <c r="G12" s="251">
        <v>0</v>
      </c>
      <c r="H12" s="50">
        <v>0</v>
      </c>
      <c r="I12" s="50"/>
      <c r="J12" s="50"/>
      <c r="K12" s="50"/>
      <c r="L12" s="50"/>
      <c r="M12" s="50"/>
      <c r="N12" s="50">
        <v>0</v>
      </c>
      <c r="O12" s="106"/>
      <c r="P12" s="50"/>
      <c r="Q12" s="394" t="s">
        <v>211</v>
      </c>
      <c r="R12" s="395" t="s">
        <v>209</v>
      </c>
      <c r="S12" s="337">
        <f>IF(SUM(C12:C15)&gt;0,C12+C13+C15+C14,0)</f>
        <v>0</v>
      </c>
      <c r="T12" s="339">
        <f>IF(SUM(C12:C15)&lt;0,C12+C13+C15+C14,0)</f>
        <v>-1291.67</v>
      </c>
    </row>
    <row r="13" spans="1:20" ht="15.75" hidden="1" customHeight="1">
      <c r="A13" s="62"/>
      <c r="B13" s="59" t="s">
        <v>148</v>
      </c>
      <c r="C13" s="11">
        <v>0</v>
      </c>
      <c r="D13" s="251"/>
      <c r="E13" s="251">
        <v>0</v>
      </c>
      <c r="F13" s="251"/>
      <c r="G13" s="252"/>
      <c r="H13" s="60"/>
      <c r="I13" s="50"/>
      <c r="J13" s="87"/>
      <c r="K13" s="87"/>
      <c r="L13" s="50"/>
      <c r="M13" s="50"/>
      <c r="N13" s="50"/>
      <c r="O13" s="106"/>
      <c r="P13" s="50"/>
      <c r="Q13" s="349" t="s">
        <v>11</v>
      </c>
      <c r="R13" s="350" t="s">
        <v>62</v>
      </c>
      <c r="S13" s="337">
        <v>0</v>
      </c>
      <c r="T13" s="339">
        <v>0</v>
      </c>
    </row>
    <row r="14" spans="1:20" ht="15.75" hidden="1" customHeight="1">
      <c r="A14" s="62"/>
      <c r="B14" s="59" t="s">
        <v>144</v>
      </c>
      <c r="C14" s="11">
        <v>0</v>
      </c>
      <c r="D14" s="249">
        <v>0</v>
      </c>
      <c r="E14" s="249"/>
      <c r="F14" s="249"/>
      <c r="G14" s="251">
        <v>0</v>
      </c>
      <c r="H14" s="105"/>
      <c r="I14" s="50"/>
      <c r="J14" s="87"/>
      <c r="K14" s="50"/>
      <c r="L14" s="50"/>
      <c r="M14" s="50"/>
      <c r="N14" s="50"/>
      <c r="O14" s="106"/>
      <c r="P14" s="50"/>
      <c r="Q14" s="342" t="s">
        <v>80</v>
      </c>
      <c r="R14" s="341" t="s">
        <v>59</v>
      </c>
      <c r="S14" s="112">
        <f>IF(SUM(C12)&lt;0,-C12,0)</f>
        <v>0</v>
      </c>
      <c r="T14" s="339">
        <f>IF(SUM(C12)&gt;0,-C12,0)</f>
        <v>0</v>
      </c>
    </row>
    <row r="15" spans="1:20" ht="15.75" hidden="1" customHeight="1">
      <c r="A15" s="62"/>
      <c r="B15" s="59" t="s">
        <v>57</v>
      </c>
      <c r="C15" s="64">
        <v>-1291.67</v>
      </c>
      <c r="D15" s="64"/>
      <c r="E15" s="64"/>
      <c r="F15" s="64"/>
      <c r="G15" s="64"/>
      <c r="H15" s="64">
        <v>-1291.67</v>
      </c>
      <c r="I15" s="64"/>
      <c r="J15" s="64"/>
      <c r="K15" s="64"/>
      <c r="L15" s="64"/>
      <c r="M15" s="64"/>
      <c r="N15" s="64"/>
      <c r="O15" s="99">
        <v>0.01</v>
      </c>
      <c r="P15" s="50"/>
      <c r="Q15" s="344" t="s">
        <v>154</v>
      </c>
      <c r="R15" s="341" t="s">
        <v>77</v>
      </c>
      <c r="S15" s="346">
        <v>0</v>
      </c>
      <c r="T15" s="339">
        <f>IF(SUM(C15)&gt;0,-C15,0)</f>
        <v>0</v>
      </c>
    </row>
    <row r="16" spans="1:20" ht="16.5" hidden="1" customHeight="1" thickBot="1">
      <c r="A16" s="104">
        <f>A12</f>
        <v>41183</v>
      </c>
      <c r="B16" s="50" t="s">
        <v>56</v>
      </c>
      <c r="C16" s="158">
        <f>SUM(C9:C15)</f>
        <v>-1551291.67</v>
      </c>
      <c r="D16" s="158">
        <f t="shared" ref="D16:N16" si="0">SUM(D9:D15)</f>
        <v>-883736.20005990437</v>
      </c>
      <c r="E16" s="158">
        <f t="shared" si="0"/>
        <v>-659271.7478600872</v>
      </c>
      <c r="F16" s="158">
        <f t="shared" si="0"/>
        <v>0</v>
      </c>
      <c r="G16" s="158">
        <f t="shared" si="0"/>
        <v>0</v>
      </c>
      <c r="H16" s="158">
        <f t="shared" si="0"/>
        <v>-8283.7220800084524</v>
      </c>
      <c r="I16" s="158">
        <f t="shared" si="0"/>
        <v>0</v>
      </c>
      <c r="J16" s="158">
        <f t="shared" si="0"/>
        <v>0</v>
      </c>
      <c r="K16" s="158">
        <f t="shared" si="0"/>
        <v>0</v>
      </c>
      <c r="L16" s="158">
        <f t="shared" si="0"/>
        <v>0</v>
      </c>
      <c r="M16" s="158">
        <f t="shared" si="0"/>
        <v>0</v>
      </c>
      <c r="N16" s="158">
        <f t="shared" si="0"/>
        <v>0</v>
      </c>
      <c r="O16" s="50"/>
      <c r="P16" s="50"/>
      <c r="Q16" s="345" t="s">
        <v>83</v>
      </c>
      <c r="R16" s="343" t="s">
        <v>78</v>
      </c>
      <c r="S16" s="116">
        <f>IF(SUM(C15)&lt;0,-C15,0)</f>
        <v>1291.67</v>
      </c>
      <c r="T16" s="393">
        <v>0</v>
      </c>
    </row>
    <row r="17" spans="1:20" ht="16.5" hidden="1" customHeight="1" thickTop="1" thickBot="1">
      <c r="T17" s="340">
        <v>0</v>
      </c>
    </row>
    <row r="18" spans="1:20" s="386" customFormat="1" ht="15.75" hidden="1" customHeight="1" thickBot="1">
      <c r="A18" s="53"/>
      <c r="Q18" s="338" t="s">
        <v>107</v>
      </c>
      <c r="R18" s="334"/>
      <c r="S18" s="334"/>
      <c r="T18" s="229"/>
    </row>
    <row r="19" spans="1:20" s="386" customFormat="1" ht="15.75" hidden="1" customHeight="1">
      <c r="A19" s="58">
        <v>41214</v>
      </c>
      <c r="B19" s="59" t="s">
        <v>84</v>
      </c>
      <c r="C19" s="11">
        <f>SUM(D19:N19)</f>
        <v>0</v>
      </c>
      <c r="D19" s="250">
        <v>0</v>
      </c>
      <c r="E19" s="250">
        <v>0</v>
      </c>
      <c r="F19" s="251">
        <v>0</v>
      </c>
      <c r="G19" s="251">
        <v>0</v>
      </c>
      <c r="H19" s="50">
        <v>0</v>
      </c>
      <c r="I19" s="50"/>
      <c r="J19" s="50"/>
      <c r="K19" s="50"/>
      <c r="L19" s="50"/>
      <c r="M19" s="50"/>
      <c r="N19" s="50">
        <v>0</v>
      </c>
      <c r="O19" s="106"/>
      <c r="P19" s="50"/>
      <c r="Q19" s="394" t="s">
        <v>211</v>
      </c>
      <c r="R19" s="395" t="s">
        <v>209</v>
      </c>
      <c r="S19" s="337">
        <f>IF(SUM(C19:C22)&gt;0,C19+C20+C22+C21,0)</f>
        <v>0</v>
      </c>
      <c r="T19" s="339">
        <f>IF(SUM(C19:C22)&lt;0,C19+C20+C22+C21,0)</f>
        <v>-1292.74</v>
      </c>
    </row>
    <row r="20" spans="1:20" s="386" customFormat="1" ht="15.75" hidden="1" customHeight="1">
      <c r="A20" s="62"/>
      <c r="B20" s="59" t="s">
        <v>148</v>
      </c>
      <c r="C20" s="11">
        <f>SUM(D20:N20)</f>
        <v>0</v>
      </c>
      <c r="D20" s="251"/>
      <c r="E20" s="251">
        <v>0</v>
      </c>
      <c r="F20" s="251"/>
      <c r="G20" s="252"/>
      <c r="H20" s="60"/>
      <c r="I20" s="50"/>
      <c r="J20" s="87"/>
      <c r="K20" s="87"/>
      <c r="L20" s="50"/>
      <c r="M20" s="50"/>
      <c r="N20" s="50"/>
      <c r="O20" s="106"/>
      <c r="P20" s="50"/>
      <c r="Q20" s="349" t="s">
        <v>11</v>
      </c>
      <c r="R20" s="350" t="s">
        <v>62</v>
      </c>
      <c r="S20" s="337">
        <v>0</v>
      </c>
      <c r="T20" s="339">
        <v>0</v>
      </c>
    </row>
    <row r="21" spans="1:20" s="386" customFormat="1" ht="15.75" hidden="1" customHeight="1">
      <c r="A21" s="62"/>
      <c r="B21" s="59" t="s">
        <v>144</v>
      </c>
      <c r="C21" s="11">
        <f>SUM(D21:N21)</f>
        <v>0</v>
      </c>
      <c r="D21" s="249">
        <v>0</v>
      </c>
      <c r="E21" s="249"/>
      <c r="F21" s="249"/>
      <c r="G21" s="251">
        <v>0</v>
      </c>
      <c r="H21" s="105"/>
      <c r="I21" s="50"/>
      <c r="J21" s="87"/>
      <c r="K21" s="50"/>
      <c r="L21" s="50"/>
      <c r="M21" s="50"/>
      <c r="N21" s="50"/>
      <c r="O21" s="106"/>
      <c r="P21" s="50"/>
      <c r="Q21" s="342" t="s">
        <v>80</v>
      </c>
      <c r="R21" s="341" t="s">
        <v>59</v>
      </c>
      <c r="S21" s="112">
        <f>IF(SUM(C19)&lt;0,-C19,0)</f>
        <v>0</v>
      </c>
      <c r="T21" s="339">
        <f>IF(SUM(C19)&gt;0,-C19,0)</f>
        <v>0</v>
      </c>
    </row>
    <row r="22" spans="1:20" s="386" customFormat="1" ht="15.75" hidden="1" customHeight="1">
      <c r="A22" s="62"/>
      <c r="B22" s="59" t="s">
        <v>57</v>
      </c>
      <c r="C22" s="64">
        <f>SUM(D22:N22)</f>
        <v>-1292.74</v>
      </c>
      <c r="D22" s="64"/>
      <c r="E22" s="64"/>
      <c r="F22" s="64"/>
      <c r="G22" s="64"/>
      <c r="H22" s="64">
        <f>ROUND(((C16)+(C19)/2)*(O22/12),2)</f>
        <v>-1292.74</v>
      </c>
      <c r="I22" s="64"/>
      <c r="J22" s="64"/>
      <c r="K22" s="64"/>
      <c r="L22" s="64"/>
      <c r="M22" s="64"/>
      <c r="N22" s="64"/>
      <c r="O22" s="99">
        <v>0.01</v>
      </c>
      <c r="P22" s="50"/>
      <c r="Q22" s="344" t="s">
        <v>154</v>
      </c>
      <c r="R22" s="341" t="s">
        <v>77</v>
      </c>
      <c r="S22" s="346">
        <v>0</v>
      </c>
      <c r="T22" s="339">
        <f>IF(SUM(C22)&gt;0,-C22,0)</f>
        <v>0</v>
      </c>
    </row>
    <row r="23" spans="1:20" s="386" customFormat="1" ht="16.5" hidden="1" customHeight="1" thickBot="1">
      <c r="A23" s="104">
        <f>A19</f>
        <v>41214</v>
      </c>
      <c r="B23" s="50" t="s">
        <v>56</v>
      </c>
      <c r="C23" s="158">
        <f>SUM(C16:C22)</f>
        <v>-1552584.41</v>
      </c>
      <c r="D23" s="158">
        <f>SUM(D16:D22)</f>
        <v>-883736.20005990437</v>
      </c>
      <c r="E23" s="158">
        <f t="shared" ref="E23:N23" si="1">SUM(E16:E22)</f>
        <v>-659271.7478600872</v>
      </c>
      <c r="F23" s="158">
        <f t="shared" si="1"/>
        <v>0</v>
      </c>
      <c r="G23" s="158">
        <f t="shared" si="1"/>
        <v>0</v>
      </c>
      <c r="H23" s="158">
        <f>SUM(H16:H22)</f>
        <v>-9576.4620800084522</v>
      </c>
      <c r="I23" s="158">
        <f t="shared" si="1"/>
        <v>0</v>
      </c>
      <c r="J23" s="158">
        <f t="shared" si="1"/>
        <v>0</v>
      </c>
      <c r="K23" s="158">
        <f t="shared" si="1"/>
        <v>0</v>
      </c>
      <c r="L23" s="158">
        <f t="shared" si="1"/>
        <v>0</v>
      </c>
      <c r="M23" s="158">
        <f t="shared" si="1"/>
        <v>0</v>
      </c>
      <c r="N23" s="158">
        <f t="shared" si="1"/>
        <v>0</v>
      </c>
      <c r="O23" s="50"/>
      <c r="P23" s="50"/>
      <c r="Q23" s="345" t="s">
        <v>83</v>
      </c>
      <c r="R23" s="343" t="s">
        <v>78</v>
      </c>
      <c r="S23" s="116">
        <f>IF(SUM(C22)&lt;0,-C22,0)</f>
        <v>1292.74</v>
      </c>
      <c r="T23" s="393">
        <v>0</v>
      </c>
    </row>
    <row r="24" spans="1:20" s="386" customFormat="1" ht="16.5" hidden="1" customHeight="1" thickTop="1" thickBot="1">
      <c r="A24" s="53"/>
      <c r="T24" s="340">
        <v>0</v>
      </c>
    </row>
    <row r="25" spans="1:20" s="386" customFormat="1" ht="15.75" hidden="1" customHeight="1" thickBot="1">
      <c r="A25" s="53"/>
      <c r="Q25" s="338" t="s">
        <v>107</v>
      </c>
      <c r="R25" s="334"/>
      <c r="S25" s="334"/>
      <c r="T25" s="229"/>
    </row>
    <row r="26" spans="1:20" s="386" customFormat="1" ht="15.75" hidden="1" customHeight="1">
      <c r="A26" s="58">
        <v>41244</v>
      </c>
      <c r="B26" s="59" t="s">
        <v>84</v>
      </c>
      <c r="C26" s="11">
        <f>SUM(D26:N26)</f>
        <v>0</v>
      </c>
      <c r="D26" s="250">
        <v>0</v>
      </c>
      <c r="E26" s="250">
        <v>0</v>
      </c>
      <c r="F26" s="251">
        <v>0</v>
      </c>
      <c r="G26" s="251">
        <v>0</v>
      </c>
      <c r="H26" s="50">
        <v>0</v>
      </c>
      <c r="I26" s="50"/>
      <c r="J26" s="50"/>
      <c r="K26" s="50"/>
      <c r="L26" s="50"/>
      <c r="M26" s="50"/>
      <c r="N26" s="50">
        <v>0</v>
      </c>
      <c r="O26" s="106"/>
      <c r="P26" s="50"/>
      <c r="Q26" s="394" t="s">
        <v>211</v>
      </c>
      <c r="R26" s="395" t="s">
        <v>209</v>
      </c>
      <c r="S26" s="337">
        <f>IF(SUM(C26:C29)&gt;0,C26+C27+C29+C28,0)</f>
        <v>0</v>
      </c>
      <c r="T26" s="339">
        <f>IF(SUM(C26:C29)&lt;0,C26+C27+C29+C28,0)</f>
        <v>-1293.82</v>
      </c>
    </row>
    <row r="27" spans="1:20" s="386" customFormat="1" ht="15.75" hidden="1" customHeight="1">
      <c r="A27" s="62"/>
      <c r="B27" s="59" t="s">
        <v>148</v>
      </c>
      <c r="C27" s="11">
        <f>SUM(D27:N27)</f>
        <v>0</v>
      </c>
      <c r="D27" s="251"/>
      <c r="E27" s="251">
        <v>0</v>
      </c>
      <c r="F27" s="251"/>
      <c r="G27" s="252"/>
      <c r="H27" s="60"/>
      <c r="I27" s="50"/>
      <c r="J27" s="87"/>
      <c r="K27" s="87"/>
      <c r="L27" s="50"/>
      <c r="M27" s="50"/>
      <c r="N27" s="50"/>
      <c r="O27" s="106"/>
      <c r="P27" s="50"/>
      <c r="Q27" s="349" t="s">
        <v>11</v>
      </c>
      <c r="R27" s="350" t="s">
        <v>62</v>
      </c>
      <c r="S27" s="337">
        <v>0</v>
      </c>
      <c r="T27" s="339">
        <v>0</v>
      </c>
    </row>
    <row r="28" spans="1:20" s="386" customFormat="1" ht="15.75" hidden="1" customHeight="1">
      <c r="A28" s="62"/>
      <c r="B28" s="59" t="s">
        <v>144</v>
      </c>
      <c r="C28" s="11">
        <f>SUM(D28:N28)</f>
        <v>0</v>
      </c>
      <c r="D28" s="249">
        <v>0</v>
      </c>
      <c r="E28" s="249"/>
      <c r="F28" s="249"/>
      <c r="G28" s="251">
        <v>0</v>
      </c>
      <c r="H28" s="105"/>
      <c r="I28" s="50"/>
      <c r="J28" s="87"/>
      <c r="K28" s="50"/>
      <c r="L28" s="50"/>
      <c r="M28" s="50"/>
      <c r="N28" s="50"/>
      <c r="O28" s="106"/>
      <c r="P28" s="50"/>
      <c r="Q28" s="342" t="s">
        <v>80</v>
      </c>
      <c r="R28" s="341" t="s">
        <v>59</v>
      </c>
      <c r="S28" s="112">
        <f>IF(SUM(C26)&lt;0,-C26,0)</f>
        <v>0</v>
      </c>
      <c r="T28" s="339">
        <f>IF(SUM(C26)&gt;0,-C26,0)</f>
        <v>0</v>
      </c>
    </row>
    <row r="29" spans="1:20" s="386" customFormat="1" ht="15.75" hidden="1" customHeight="1">
      <c r="A29" s="62"/>
      <c r="B29" s="59" t="s">
        <v>57</v>
      </c>
      <c r="C29" s="64">
        <f>SUM(D29:N29)</f>
        <v>-1293.82</v>
      </c>
      <c r="D29" s="64"/>
      <c r="E29" s="64"/>
      <c r="F29" s="64"/>
      <c r="G29" s="64"/>
      <c r="H29" s="64">
        <f>ROUND(((C23)+(C26)/2)*(O29/12),2)</f>
        <v>-1293.82</v>
      </c>
      <c r="I29" s="64"/>
      <c r="J29" s="64"/>
      <c r="K29" s="64"/>
      <c r="L29" s="64"/>
      <c r="M29" s="64"/>
      <c r="N29" s="64"/>
      <c r="O29" s="99">
        <v>0.01</v>
      </c>
      <c r="P29" s="50"/>
      <c r="Q29" s="344" t="s">
        <v>154</v>
      </c>
      <c r="R29" s="341" t="s">
        <v>77</v>
      </c>
      <c r="S29" s="346">
        <v>0</v>
      </c>
      <c r="T29" s="339">
        <f>IF(SUM(C29)&gt;0,-C29,0)</f>
        <v>0</v>
      </c>
    </row>
    <row r="30" spans="1:20" s="386" customFormat="1" ht="16" hidden="1" thickBot="1">
      <c r="A30" s="104">
        <f>A26</f>
        <v>41244</v>
      </c>
      <c r="B30" s="50" t="s">
        <v>56</v>
      </c>
      <c r="C30" s="158">
        <f>SUM(C23:C29)</f>
        <v>-1553878.23</v>
      </c>
      <c r="D30" s="158">
        <f>SUM(D23:D29)</f>
        <v>-883736.20005990437</v>
      </c>
      <c r="E30" s="158">
        <f t="shared" ref="E30:G30" si="2">SUM(E23:E29)</f>
        <v>-659271.7478600872</v>
      </c>
      <c r="F30" s="158">
        <f t="shared" si="2"/>
        <v>0</v>
      </c>
      <c r="G30" s="158">
        <f t="shared" si="2"/>
        <v>0</v>
      </c>
      <c r="H30" s="158">
        <f>SUM(H23:H29)</f>
        <v>-10870.282080008452</v>
      </c>
      <c r="I30" s="158">
        <f t="shared" ref="I30:N30" si="3">SUM(I23:I29)</f>
        <v>0</v>
      </c>
      <c r="J30" s="158">
        <f t="shared" si="3"/>
        <v>0</v>
      </c>
      <c r="K30" s="158">
        <f t="shared" si="3"/>
        <v>0</v>
      </c>
      <c r="L30" s="158">
        <f t="shared" si="3"/>
        <v>0</v>
      </c>
      <c r="M30" s="158">
        <f t="shared" si="3"/>
        <v>0</v>
      </c>
      <c r="N30" s="158">
        <f t="shared" si="3"/>
        <v>0</v>
      </c>
      <c r="O30" s="50"/>
      <c r="P30" s="50"/>
      <c r="Q30" s="345" t="s">
        <v>83</v>
      </c>
      <c r="R30" s="343" t="s">
        <v>78</v>
      </c>
      <c r="S30" s="116">
        <f>IF(SUM(C29)&lt;0,-C29,0)</f>
        <v>1293.82</v>
      </c>
      <c r="T30" s="393">
        <v>0</v>
      </c>
    </row>
    <row r="31" spans="1:20" s="386" customFormat="1" ht="16.5" hidden="1" thickTop="1" thickBot="1">
      <c r="A31" s="53"/>
      <c r="T31" s="340">
        <v>0</v>
      </c>
    </row>
    <row r="32" spans="1:20" s="358" customFormat="1" ht="16" hidden="1" thickBot="1">
      <c r="A32" s="53"/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38" t="s">
        <v>107</v>
      </c>
      <c r="R32" s="334"/>
      <c r="S32" s="334"/>
      <c r="T32" s="229"/>
    </row>
    <row r="33" spans="1:20" s="358" customFormat="1" hidden="1">
      <c r="A33" s="58">
        <v>41305</v>
      </c>
      <c r="B33" s="59" t="s">
        <v>84</v>
      </c>
      <c r="C33" s="11">
        <f>SUM(D33:N33)</f>
        <v>0</v>
      </c>
      <c r="D33" s="250">
        <v>0</v>
      </c>
      <c r="E33" s="250">
        <v>0</v>
      </c>
      <c r="F33" s="251">
        <v>0</v>
      </c>
      <c r="G33" s="251">
        <v>0</v>
      </c>
      <c r="H33" s="50">
        <v>0</v>
      </c>
      <c r="I33" s="50"/>
      <c r="J33" s="50"/>
      <c r="K33" s="50"/>
      <c r="L33" s="50"/>
      <c r="M33" s="50"/>
      <c r="N33" s="50">
        <v>0</v>
      </c>
      <c r="O33" s="106"/>
      <c r="P33" s="50"/>
      <c r="Q33" s="394" t="s">
        <v>211</v>
      </c>
      <c r="R33" s="395" t="s">
        <v>209</v>
      </c>
      <c r="S33" s="337">
        <f>IF(SUM(C33:C36)&gt;0,C33+C34+C36+C35,0)</f>
        <v>0</v>
      </c>
      <c r="T33" s="339">
        <f>IF(SUM(C33:C36)&lt;0,C33+C34+C36+C35,0)</f>
        <v>-1294.9000000000001</v>
      </c>
    </row>
    <row r="34" spans="1:20" s="358" customFormat="1" hidden="1">
      <c r="A34" s="62"/>
      <c r="B34" s="59" t="s">
        <v>148</v>
      </c>
      <c r="C34" s="11">
        <f>SUM(D34:N34)</f>
        <v>0</v>
      </c>
      <c r="D34" s="251"/>
      <c r="E34" s="251">
        <v>0</v>
      </c>
      <c r="F34" s="251"/>
      <c r="G34" s="252"/>
      <c r="H34" s="60"/>
      <c r="I34" s="50"/>
      <c r="J34" s="87"/>
      <c r="K34" s="87"/>
      <c r="L34" s="50"/>
      <c r="M34" s="50"/>
      <c r="N34" s="50"/>
      <c r="O34" s="106"/>
      <c r="P34" s="50"/>
      <c r="Q34" s="349" t="s">
        <v>11</v>
      </c>
      <c r="R34" s="350" t="s">
        <v>62</v>
      </c>
      <c r="S34" s="337">
        <v>0</v>
      </c>
      <c r="T34" s="339">
        <v>0</v>
      </c>
    </row>
    <row r="35" spans="1:20" s="358" customFormat="1" hidden="1">
      <c r="A35" s="62"/>
      <c r="B35" s="59" t="s">
        <v>144</v>
      </c>
      <c r="C35" s="11">
        <f>SUM(D35:N35)</f>
        <v>0</v>
      </c>
      <c r="D35" s="249">
        <v>0</v>
      </c>
      <c r="E35" s="249"/>
      <c r="F35" s="249"/>
      <c r="G35" s="251">
        <v>0</v>
      </c>
      <c r="H35" s="105"/>
      <c r="I35" s="50"/>
      <c r="J35" s="87"/>
      <c r="K35" s="50"/>
      <c r="L35" s="50"/>
      <c r="M35" s="50"/>
      <c r="N35" s="50"/>
      <c r="O35" s="106"/>
      <c r="P35" s="50"/>
      <c r="Q35" s="342" t="s">
        <v>80</v>
      </c>
      <c r="R35" s="341" t="s">
        <v>59</v>
      </c>
      <c r="S35" s="112">
        <f>IF(SUM(C33)&lt;0,-C33,0)</f>
        <v>0</v>
      </c>
      <c r="T35" s="339">
        <f>IF(SUM(C33)&gt;0,-C33,0)</f>
        <v>0</v>
      </c>
    </row>
    <row r="36" spans="1:20" s="358" customFormat="1" hidden="1">
      <c r="A36" s="62"/>
      <c r="B36" s="59" t="s">
        <v>57</v>
      </c>
      <c r="C36" s="64">
        <f>SUM(D36:N36)</f>
        <v>-1294.9000000000001</v>
      </c>
      <c r="D36" s="64"/>
      <c r="E36" s="64"/>
      <c r="F36" s="64"/>
      <c r="G36" s="64"/>
      <c r="H36" s="64">
        <f>ROUND(((C30)+(C33)/2)*(O36/12),2)</f>
        <v>-1294.9000000000001</v>
      </c>
      <c r="I36" s="64"/>
      <c r="J36" s="64"/>
      <c r="K36" s="64"/>
      <c r="L36" s="64"/>
      <c r="M36" s="64"/>
      <c r="N36" s="64"/>
      <c r="O36" s="99">
        <v>0.01</v>
      </c>
      <c r="P36" s="50"/>
      <c r="Q36" s="344" t="s">
        <v>154</v>
      </c>
      <c r="R36" s="341" t="s">
        <v>77</v>
      </c>
      <c r="S36" s="346">
        <v>0</v>
      </c>
      <c r="T36" s="339">
        <f>IF(SUM(C36)&gt;0,-C36,0)</f>
        <v>0</v>
      </c>
    </row>
    <row r="37" spans="1:20" s="358" customFormat="1" ht="16" hidden="1" thickBot="1">
      <c r="A37" s="104">
        <f>A33</f>
        <v>41305</v>
      </c>
      <c r="B37" s="50" t="s">
        <v>56</v>
      </c>
      <c r="C37" s="158">
        <f>SUM(C30:C36)</f>
        <v>-1555173.13</v>
      </c>
      <c r="D37" s="158">
        <f>SUM(D30:D36)</f>
        <v>-883736.20005990437</v>
      </c>
      <c r="E37" s="158">
        <f t="shared" ref="E37:G37" si="4">SUM(E30:E36)</f>
        <v>-659271.7478600872</v>
      </c>
      <c r="F37" s="158">
        <f t="shared" si="4"/>
        <v>0</v>
      </c>
      <c r="G37" s="158">
        <f t="shared" si="4"/>
        <v>0</v>
      </c>
      <c r="H37" s="158">
        <f>SUM(H30:H36)</f>
        <v>-12165.182080008452</v>
      </c>
      <c r="I37" s="158">
        <f t="shared" ref="I37:N37" si="5">SUM(I30:I36)</f>
        <v>0</v>
      </c>
      <c r="J37" s="158">
        <f t="shared" si="5"/>
        <v>0</v>
      </c>
      <c r="K37" s="158">
        <f t="shared" si="5"/>
        <v>0</v>
      </c>
      <c r="L37" s="158">
        <f t="shared" si="5"/>
        <v>0</v>
      </c>
      <c r="M37" s="158">
        <f t="shared" si="5"/>
        <v>0</v>
      </c>
      <c r="N37" s="158">
        <f t="shared" si="5"/>
        <v>0</v>
      </c>
      <c r="O37" s="50"/>
      <c r="P37" s="50"/>
      <c r="Q37" s="345" t="s">
        <v>83</v>
      </c>
      <c r="R37" s="343" t="s">
        <v>78</v>
      </c>
      <c r="S37" s="116">
        <f>IF(SUM(C36)&lt;0,-C36,0)</f>
        <v>1294.9000000000001</v>
      </c>
      <c r="T37" s="393">
        <v>0</v>
      </c>
    </row>
    <row r="38" spans="1:20" s="358" customFormat="1" ht="16" hidden="1" thickTop="1">
      <c r="A38" s="53"/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40">
        <v>0</v>
      </c>
    </row>
    <row r="39" spans="1:20" s="358" customFormat="1" ht="16" hidden="1" thickBot="1">
      <c r="A39" s="53"/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</row>
    <row r="40" spans="1:20" s="358" customFormat="1" ht="16" hidden="1" thickBot="1">
      <c r="A40" s="53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38" t="s">
        <v>107</v>
      </c>
      <c r="R40" s="334"/>
      <c r="S40" s="334"/>
      <c r="T40" s="229"/>
    </row>
    <row r="41" spans="1:20" s="358" customFormat="1" hidden="1">
      <c r="A41" s="58">
        <v>41333</v>
      </c>
      <c r="B41" s="59" t="s">
        <v>84</v>
      </c>
      <c r="C41" s="11">
        <f>SUM(D41:N41)</f>
        <v>0</v>
      </c>
      <c r="D41" s="250">
        <v>0</v>
      </c>
      <c r="E41" s="250">
        <v>0</v>
      </c>
      <c r="F41" s="251">
        <v>0</v>
      </c>
      <c r="G41" s="251">
        <v>0</v>
      </c>
      <c r="H41" s="50">
        <v>0</v>
      </c>
      <c r="I41" s="50"/>
      <c r="J41" s="50"/>
      <c r="K41" s="50"/>
      <c r="L41" s="50"/>
      <c r="M41" s="50"/>
      <c r="N41" s="50">
        <v>0</v>
      </c>
      <c r="O41" s="106"/>
      <c r="P41" s="50"/>
      <c r="Q41" s="394" t="s">
        <v>211</v>
      </c>
      <c r="R41" s="395" t="s">
        <v>209</v>
      </c>
      <c r="S41" s="337">
        <f>IF(SUM(C41:C44)&gt;0,C41+C42+C44+C43,0)</f>
        <v>0</v>
      </c>
      <c r="T41" s="339">
        <f>IF(SUM(C41:C44)&lt;0,C41+C42+C44+C43,0)</f>
        <v>-1295.98</v>
      </c>
    </row>
    <row r="42" spans="1:20" s="358" customFormat="1" hidden="1">
      <c r="A42" s="62"/>
      <c r="B42" s="59" t="s">
        <v>148</v>
      </c>
      <c r="C42" s="11">
        <f>SUM(D42:N42)</f>
        <v>0</v>
      </c>
      <c r="D42" s="251"/>
      <c r="E42" s="251">
        <v>0</v>
      </c>
      <c r="F42" s="251"/>
      <c r="G42" s="252"/>
      <c r="H42" s="60"/>
      <c r="I42" s="50"/>
      <c r="J42" s="87"/>
      <c r="K42" s="87"/>
      <c r="L42" s="50"/>
      <c r="M42" s="50"/>
      <c r="N42" s="50"/>
      <c r="O42" s="106"/>
      <c r="P42" s="50"/>
      <c r="Q42" s="349" t="s">
        <v>11</v>
      </c>
      <c r="R42" s="350" t="s">
        <v>62</v>
      </c>
      <c r="S42" s="337">
        <v>0</v>
      </c>
      <c r="T42" s="339">
        <v>0</v>
      </c>
    </row>
    <row r="43" spans="1:20" s="358" customFormat="1" hidden="1">
      <c r="A43" s="62"/>
      <c r="B43" s="59" t="s">
        <v>144</v>
      </c>
      <c r="C43" s="11">
        <f>SUM(D43:N43)</f>
        <v>0</v>
      </c>
      <c r="D43" s="249">
        <v>0</v>
      </c>
      <c r="E43" s="249"/>
      <c r="F43" s="249"/>
      <c r="G43" s="251">
        <v>0</v>
      </c>
      <c r="H43" s="105"/>
      <c r="I43" s="50"/>
      <c r="J43" s="87"/>
      <c r="K43" s="50"/>
      <c r="L43" s="50"/>
      <c r="M43" s="50"/>
      <c r="N43" s="50"/>
      <c r="O43" s="106"/>
      <c r="P43" s="50"/>
      <c r="Q43" s="342" t="s">
        <v>80</v>
      </c>
      <c r="R43" s="341" t="s">
        <v>59</v>
      </c>
      <c r="S43" s="112">
        <f>IF(SUM(C41)&lt;0,-C41,0)</f>
        <v>0</v>
      </c>
      <c r="T43" s="339">
        <f>IF(SUM(C41)&gt;0,-C41,0)</f>
        <v>0</v>
      </c>
    </row>
    <row r="44" spans="1:20" s="358" customFormat="1" hidden="1">
      <c r="A44" s="62"/>
      <c r="B44" s="59" t="s">
        <v>57</v>
      </c>
      <c r="C44" s="64">
        <f>SUM(D44:N44)</f>
        <v>-1295.98</v>
      </c>
      <c r="D44" s="64"/>
      <c r="E44" s="64"/>
      <c r="F44" s="64"/>
      <c r="G44" s="64"/>
      <c r="H44" s="64">
        <v>-1295.98</v>
      </c>
      <c r="I44" s="64"/>
      <c r="J44" s="64"/>
      <c r="K44" s="64"/>
      <c r="L44" s="64"/>
      <c r="M44" s="64"/>
      <c r="N44" s="64"/>
      <c r="O44" s="99">
        <v>0.01</v>
      </c>
      <c r="P44" s="50"/>
      <c r="Q44" s="344" t="s">
        <v>154</v>
      </c>
      <c r="R44" s="341" t="s">
        <v>77</v>
      </c>
      <c r="S44" s="346">
        <v>0</v>
      </c>
      <c r="T44" s="339">
        <f>IF(SUM(C44)&gt;0,-C44,0)</f>
        <v>0</v>
      </c>
    </row>
    <row r="45" spans="1:20" s="358" customFormat="1" ht="16" hidden="1" thickBot="1">
      <c r="A45" s="104">
        <f>A41</f>
        <v>41333</v>
      </c>
      <c r="B45" s="50" t="s">
        <v>56</v>
      </c>
      <c r="C45" s="158">
        <f>SUM(C37:C44)</f>
        <v>-1556469.1099999999</v>
      </c>
      <c r="D45" s="158">
        <f>SUM(D37:D44)</f>
        <v>-883736.20005990437</v>
      </c>
      <c r="E45" s="158">
        <f>SUM(E37:E44)</f>
        <v>-659271.7478600872</v>
      </c>
      <c r="F45" s="158">
        <f t="shared" ref="F45:G45" si="6">SUM(F37:F44)</f>
        <v>0</v>
      </c>
      <c r="G45" s="158">
        <f t="shared" si="6"/>
        <v>0</v>
      </c>
      <c r="H45" s="158">
        <f>SUM(H37:H44)</f>
        <v>-13461.162080008451</v>
      </c>
      <c r="I45" s="158">
        <f t="shared" ref="I45:N45" si="7">SUM(I37:I44)</f>
        <v>0</v>
      </c>
      <c r="J45" s="158">
        <f t="shared" si="7"/>
        <v>0</v>
      </c>
      <c r="K45" s="158">
        <f t="shared" si="7"/>
        <v>0</v>
      </c>
      <c r="L45" s="158">
        <f t="shared" si="7"/>
        <v>0</v>
      </c>
      <c r="M45" s="158">
        <f t="shared" si="7"/>
        <v>0</v>
      </c>
      <c r="N45" s="158">
        <f t="shared" si="7"/>
        <v>0</v>
      </c>
      <c r="O45" s="50"/>
      <c r="P45" s="50"/>
      <c r="Q45" s="345" t="s">
        <v>83</v>
      </c>
      <c r="R45" s="343" t="s">
        <v>78</v>
      </c>
      <c r="S45" s="116">
        <f>IF(SUM(C44)&lt;0,-C44,0)</f>
        <v>1295.98</v>
      </c>
      <c r="T45" s="393">
        <v>0</v>
      </c>
    </row>
    <row r="46" spans="1:20" s="358" customFormat="1" ht="16" hidden="1" thickTop="1">
      <c r="A46" s="53"/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40">
        <v>0</v>
      </c>
    </row>
    <row r="47" spans="1:20" s="358" customFormat="1" ht="16" hidden="1" thickBot="1">
      <c r="A47" s="53"/>
      <c r="B47" s="386"/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</row>
    <row r="48" spans="1:20" s="358" customFormat="1" ht="16" hidden="1" thickBot="1">
      <c r="A48" s="53"/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38" t="s">
        <v>107</v>
      </c>
      <c r="R48" s="334"/>
      <c r="S48" s="334"/>
      <c r="T48" s="229"/>
    </row>
    <row r="49" spans="1:20" s="358" customFormat="1" hidden="1">
      <c r="A49" s="58">
        <v>41364</v>
      </c>
      <c r="B49" s="59" t="s">
        <v>84</v>
      </c>
      <c r="C49" s="11">
        <f>SUM(D49:N49)</f>
        <v>0</v>
      </c>
      <c r="D49" s="250">
        <v>0</v>
      </c>
      <c r="E49" s="250">
        <v>0</v>
      </c>
      <c r="F49" s="251">
        <v>0</v>
      </c>
      <c r="G49" s="251">
        <v>0</v>
      </c>
      <c r="H49" s="50">
        <v>0</v>
      </c>
      <c r="I49" s="50"/>
      <c r="J49" s="50"/>
      <c r="K49" s="50"/>
      <c r="L49" s="50"/>
      <c r="M49" s="50"/>
      <c r="N49" s="50">
        <v>0</v>
      </c>
      <c r="O49" s="106"/>
      <c r="P49" s="50"/>
      <c r="Q49" s="394" t="s">
        <v>211</v>
      </c>
      <c r="R49" s="395" t="s">
        <v>209</v>
      </c>
      <c r="S49" s="337">
        <f>IF(SUM(C49:C52)&gt;0,C49+C50+C52+C51,0)</f>
        <v>0</v>
      </c>
      <c r="T49" s="339">
        <f>IF(SUM(C49:C52)&lt;0,C49+C50+C52+C51,0)</f>
        <v>-1297.06</v>
      </c>
    </row>
    <row r="50" spans="1:20" s="358" customFormat="1" hidden="1">
      <c r="A50" s="62"/>
      <c r="B50" s="59" t="s">
        <v>148</v>
      </c>
      <c r="C50" s="11">
        <f>SUM(D50:N50)</f>
        <v>0</v>
      </c>
      <c r="D50" s="251"/>
      <c r="E50" s="251">
        <v>0</v>
      </c>
      <c r="F50" s="251"/>
      <c r="G50" s="252"/>
      <c r="H50" s="60"/>
      <c r="I50" s="50"/>
      <c r="J50" s="87"/>
      <c r="K50" s="87"/>
      <c r="L50" s="50"/>
      <c r="M50" s="50"/>
      <c r="N50" s="50"/>
      <c r="O50" s="106"/>
      <c r="P50" s="50"/>
      <c r="Q50" s="349" t="s">
        <v>11</v>
      </c>
      <c r="R50" s="350" t="s">
        <v>62</v>
      </c>
      <c r="S50" s="337">
        <v>0</v>
      </c>
      <c r="T50" s="339">
        <v>0</v>
      </c>
    </row>
    <row r="51" spans="1:20" s="358" customFormat="1" hidden="1">
      <c r="A51" s="62"/>
      <c r="B51" s="59" t="s">
        <v>144</v>
      </c>
      <c r="C51" s="11">
        <f>SUM(D51:N51)</f>
        <v>0</v>
      </c>
      <c r="D51" s="249">
        <v>0</v>
      </c>
      <c r="E51" s="249"/>
      <c r="F51" s="249"/>
      <c r="G51" s="251">
        <v>0</v>
      </c>
      <c r="H51" s="105"/>
      <c r="I51" s="50"/>
      <c r="J51" s="87"/>
      <c r="K51" s="50"/>
      <c r="L51" s="50"/>
      <c r="M51" s="50"/>
      <c r="N51" s="50"/>
      <c r="O51" s="106"/>
      <c r="P51" s="50"/>
      <c r="Q51" s="342" t="s">
        <v>80</v>
      </c>
      <c r="R51" s="341" t="s">
        <v>59</v>
      </c>
      <c r="S51" s="112">
        <f>IF(SUM(C49)&lt;0,-C49,0)</f>
        <v>0</v>
      </c>
      <c r="T51" s="339">
        <f>IF(SUM(C49)&gt;0,-C49,0)</f>
        <v>0</v>
      </c>
    </row>
    <row r="52" spans="1:20" s="358" customFormat="1" hidden="1">
      <c r="A52" s="62"/>
      <c r="B52" s="59" t="s">
        <v>57</v>
      </c>
      <c r="C52" s="64">
        <f>SUM(D52:N52)</f>
        <v>-1297.06</v>
      </c>
      <c r="D52" s="64"/>
      <c r="E52" s="64"/>
      <c r="F52" s="64"/>
      <c r="G52" s="64"/>
      <c r="H52" s="64">
        <v>-1297.06</v>
      </c>
      <c r="I52" s="64"/>
      <c r="J52" s="64"/>
      <c r="K52" s="64"/>
      <c r="L52" s="64"/>
      <c r="M52" s="64"/>
      <c r="N52" s="64"/>
      <c r="O52" s="99">
        <v>0.01</v>
      </c>
      <c r="P52" s="50"/>
      <c r="Q52" s="344" t="s">
        <v>154</v>
      </c>
      <c r="R52" s="341" t="s">
        <v>77</v>
      </c>
      <c r="S52" s="346">
        <v>0</v>
      </c>
      <c r="T52" s="339">
        <f>IF(SUM(C52)&gt;0,-C52,0)</f>
        <v>0</v>
      </c>
    </row>
    <row r="53" spans="1:20" s="358" customFormat="1" ht="16" hidden="1" thickBot="1">
      <c r="A53" s="104">
        <f>A49</f>
        <v>41364</v>
      </c>
      <c r="B53" s="50" t="s">
        <v>56</v>
      </c>
      <c r="C53" s="158">
        <f>SUM(C45:C52)</f>
        <v>-1557766.17</v>
      </c>
      <c r="D53" s="158">
        <f>SUM(D45:D52)</f>
        <v>-883736.20005990437</v>
      </c>
      <c r="E53" s="158">
        <f>SUM(E45:E52)</f>
        <v>-659271.7478600872</v>
      </c>
      <c r="F53" s="158">
        <f t="shared" ref="F53:G53" si="8">SUM(F45:F52)</f>
        <v>0</v>
      </c>
      <c r="G53" s="158">
        <f t="shared" si="8"/>
        <v>0</v>
      </c>
      <c r="H53" s="158">
        <f>SUM(H45:H52)</f>
        <v>-14758.222080008451</v>
      </c>
      <c r="I53" s="158">
        <f t="shared" ref="I53:N53" si="9">SUM(I45:I52)</f>
        <v>0</v>
      </c>
      <c r="J53" s="158">
        <f t="shared" si="9"/>
        <v>0</v>
      </c>
      <c r="K53" s="158">
        <f t="shared" si="9"/>
        <v>0</v>
      </c>
      <c r="L53" s="158">
        <f t="shared" si="9"/>
        <v>0</v>
      </c>
      <c r="M53" s="158">
        <f t="shared" si="9"/>
        <v>0</v>
      </c>
      <c r="N53" s="158">
        <f t="shared" si="9"/>
        <v>0</v>
      </c>
      <c r="O53" s="50"/>
      <c r="P53" s="50"/>
      <c r="Q53" s="345" t="s">
        <v>83</v>
      </c>
      <c r="R53" s="343" t="s">
        <v>78</v>
      </c>
      <c r="S53" s="116">
        <f>IF(SUM(C52)&lt;0,-C52,0)</f>
        <v>1297.06</v>
      </c>
      <c r="T53" s="393">
        <v>0</v>
      </c>
    </row>
    <row r="54" spans="1:20" s="358" customFormat="1" ht="16" hidden="1" thickTop="1">
      <c r="A54" s="53"/>
      <c r="B54" s="386"/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40">
        <v>0</v>
      </c>
    </row>
    <row r="55" spans="1:20" s="358" customFormat="1" ht="16" hidden="1" thickBot="1">
      <c r="A55" s="53"/>
      <c r="B55" s="386"/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</row>
    <row r="56" spans="1:20" s="358" customFormat="1" ht="16" hidden="1" thickBot="1">
      <c r="A56" s="53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38" t="s">
        <v>107</v>
      </c>
      <c r="R56" s="334"/>
      <c r="S56" s="334"/>
      <c r="T56" s="229"/>
    </row>
    <row r="57" spans="1:20" s="358" customFormat="1" hidden="1">
      <c r="A57" s="58">
        <v>41394</v>
      </c>
      <c r="B57" s="59" t="s">
        <v>84</v>
      </c>
      <c r="C57" s="11">
        <f>SUM(D57:N57)</f>
        <v>0</v>
      </c>
      <c r="D57" s="250">
        <v>0</v>
      </c>
      <c r="E57" s="250">
        <v>0</v>
      </c>
      <c r="F57" s="251">
        <v>0</v>
      </c>
      <c r="G57" s="251">
        <v>0</v>
      </c>
      <c r="H57" s="50">
        <v>0</v>
      </c>
      <c r="I57" s="50"/>
      <c r="J57" s="50"/>
      <c r="K57" s="50"/>
      <c r="L57" s="50"/>
      <c r="M57" s="50"/>
      <c r="N57" s="50">
        <v>0</v>
      </c>
      <c r="O57" s="106"/>
      <c r="P57" s="50"/>
      <c r="Q57" s="394" t="s">
        <v>211</v>
      </c>
      <c r="R57" s="395" t="s">
        <v>209</v>
      </c>
      <c r="S57" s="337">
        <f>IF(SUM(C57:C60)&gt;0,C57+C58+C60+C59,0)</f>
        <v>0</v>
      </c>
      <c r="T57" s="339">
        <f>IF(SUM(C57:C60)&lt;0,C57+C58+C60+C59,0)</f>
        <v>-1298.1400000000001</v>
      </c>
    </row>
    <row r="58" spans="1:20" s="358" customFormat="1" hidden="1">
      <c r="A58" s="62"/>
      <c r="B58" s="59" t="s">
        <v>148</v>
      </c>
      <c r="C58" s="11">
        <f>SUM(D58:N58)</f>
        <v>0</v>
      </c>
      <c r="D58" s="251"/>
      <c r="E58" s="251">
        <v>0</v>
      </c>
      <c r="F58" s="251"/>
      <c r="G58" s="252"/>
      <c r="H58" s="60"/>
      <c r="I58" s="50"/>
      <c r="J58" s="87"/>
      <c r="K58" s="87"/>
      <c r="L58" s="50"/>
      <c r="M58" s="50"/>
      <c r="N58" s="50"/>
      <c r="O58" s="106"/>
      <c r="P58" s="50"/>
      <c r="Q58" s="349" t="s">
        <v>11</v>
      </c>
      <c r="R58" s="350" t="s">
        <v>62</v>
      </c>
      <c r="S58" s="337">
        <v>0</v>
      </c>
      <c r="T58" s="339">
        <v>0</v>
      </c>
    </row>
    <row r="59" spans="1:20" s="358" customFormat="1" hidden="1">
      <c r="A59" s="62"/>
      <c r="B59" s="59" t="s">
        <v>144</v>
      </c>
      <c r="C59" s="11">
        <f>SUM(D59:N59)</f>
        <v>0</v>
      </c>
      <c r="D59" s="249">
        <v>0</v>
      </c>
      <c r="E59" s="249"/>
      <c r="F59" s="249"/>
      <c r="G59" s="251">
        <v>0</v>
      </c>
      <c r="H59" s="105"/>
      <c r="I59" s="50"/>
      <c r="J59" s="87"/>
      <c r="K59" s="50"/>
      <c r="L59" s="50"/>
      <c r="M59" s="50"/>
      <c r="N59" s="50"/>
      <c r="O59" s="106"/>
      <c r="P59" s="50"/>
      <c r="Q59" s="342" t="s">
        <v>80</v>
      </c>
      <c r="R59" s="341" t="s">
        <v>59</v>
      </c>
      <c r="S59" s="112">
        <f>IF(SUM(C57)&lt;0,-C57,0)</f>
        <v>0</v>
      </c>
      <c r="T59" s="339">
        <f>IF(SUM(C57)&gt;0,-C57,0)</f>
        <v>0</v>
      </c>
    </row>
    <row r="60" spans="1:20" s="358" customFormat="1" hidden="1">
      <c r="A60" s="62"/>
      <c r="B60" s="59" t="s">
        <v>57</v>
      </c>
      <c r="C60" s="64">
        <f>SUM(D60:N60)</f>
        <v>-1298.1400000000001</v>
      </c>
      <c r="D60" s="64"/>
      <c r="E60" s="64"/>
      <c r="F60" s="64"/>
      <c r="G60" s="64"/>
      <c r="H60" s="64">
        <v>-1298.1400000000001</v>
      </c>
      <c r="I60" s="64"/>
      <c r="J60" s="64"/>
      <c r="K60" s="64"/>
      <c r="L60" s="64"/>
      <c r="M60" s="64"/>
      <c r="N60" s="64"/>
      <c r="O60" s="99">
        <v>0.01</v>
      </c>
      <c r="P60" s="50"/>
      <c r="Q60" s="344" t="s">
        <v>154</v>
      </c>
      <c r="R60" s="341" t="s">
        <v>77</v>
      </c>
      <c r="S60" s="346">
        <v>0</v>
      </c>
      <c r="T60" s="339">
        <f>IF(SUM(C60)&gt;0,-C60,0)</f>
        <v>0</v>
      </c>
    </row>
    <row r="61" spans="1:20" s="358" customFormat="1" ht="16" hidden="1" thickBot="1">
      <c r="A61" s="104">
        <f>A57</f>
        <v>41394</v>
      </c>
      <c r="B61" s="50" t="s">
        <v>56</v>
      </c>
      <c r="C61" s="158">
        <f>SUM(C53:C60)</f>
        <v>-1559064.3099999998</v>
      </c>
      <c r="D61" s="158">
        <f>SUM(D53:D60)</f>
        <v>-883736.20005990437</v>
      </c>
      <c r="E61" s="158">
        <f>SUM(E53:E60)</f>
        <v>-659271.7478600872</v>
      </c>
      <c r="F61" s="158">
        <f t="shared" ref="F61:G61" si="10">SUM(F53:F60)</f>
        <v>0</v>
      </c>
      <c r="G61" s="158">
        <f t="shared" si="10"/>
        <v>0</v>
      </c>
      <c r="H61" s="158">
        <f>SUM(H53:H60)</f>
        <v>-16056.36208000845</v>
      </c>
      <c r="I61" s="158">
        <f t="shared" ref="I61:N61" si="11">SUM(I53:I60)</f>
        <v>0</v>
      </c>
      <c r="J61" s="158">
        <f t="shared" si="11"/>
        <v>0</v>
      </c>
      <c r="K61" s="158">
        <f t="shared" si="11"/>
        <v>0</v>
      </c>
      <c r="L61" s="158">
        <f t="shared" si="11"/>
        <v>0</v>
      </c>
      <c r="M61" s="158">
        <f t="shared" si="11"/>
        <v>0</v>
      </c>
      <c r="N61" s="158">
        <f t="shared" si="11"/>
        <v>0</v>
      </c>
      <c r="O61" s="50"/>
      <c r="P61" s="50"/>
      <c r="Q61" s="345" t="s">
        <v>83</v>
      </c>
      <c r="R61" s="343" t="s">
        <v>78</v>
      </c>
      <c r="S61" s="116">
        <f>IF(SUM(C60)&lt;0,-C60,0)</f>
        <v>1298.1400000000001</v>
      </c>
      <c r="T61" s="393">
        <v>0</v>
      </c>
    </row>
    <row r="62" spans="1:20" s="358" customFormat="1" ht="16" hidden="1" thickTop="1">
      <c r="A62" s="53"/>
      <c r="B62" s="386"/>
      <c r="C62" s="387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40">
        <v>0</v>
      </c>
    </row>
    <row r="63" spans="1:20" s="358" customFormat="1" ht="16" hidden="1" thickBot="1">
      <c r="A63" s="53"/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</row>
    <row r="64" spans="1:20" s="358" customFormat="1" ht="16" hidden="1" thickBot="1">
      <c r="A64" s="53"/>
      <c r="B64" s="386"/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38" t="s">
        <v>107</v>
      </c>
      <c r="R64" s="334"/>
      <c r="S64" s="334"/>
      <c r="T64" s="229"/>
    </row>
    <row r="65" spans="1:20" s="358" customFormat="1" hidden="1">
      <c r="A65" s="58">
        <v>41425</v>
      </c>
      <c r="B65" s="59" t="s">
        <v>84</v>
      </c>
      <c r="C65" s="11">
        <f>SUM(D65:N65)</f>
        <v>0</v>
      </c>
      <c r="D65" s="250">
        <v>0</v>
      </c>
      <c r="E65" s="250">
        <v>0</v>
      </c>
      <c r="F65" s="251">
        <v>0</v>
      </c>
      <c r="G65" s="251">
        <v>0</v>
      </c>
      <c r="H65" s="50">
        <v>0</v>
      </c>
      <c r="I65" s="50"/>
      <c r="J65" s="50"/>
      <c r="K65" s="50"/>
      <c r="L65" s="50"/>
      <c r="M65" s="50"/>
      <c r="N65" s="50">
        <v>0</v>
      </c>
      <c r="O65" s="106"/>
      <c r="P65" s="50"/>
      <c r="Q65" s="394" t="s">
        <v>211</v>
      </c>
      <c r="R65" s="395" t="s">
        <v>209</v>
      </c>
      <c r="S65" s="337">
        <f>IF(SUM(C65:C68)&gt;0,C65+C66+C68+C67,0)</f>
        <v>0</v>
      </c>
      <c r="T65" s="339">
        <f>IF(SUM(C65:C68)&lt;0,C65+C66+C68+C67,0)</f>
        <v>-1299.22</v>
      </c>
    </row>
    <row r="66" spans="1:20" s="358" customFormat="1" hidden="1">
      <c r="A66" s="62"/>
      <c r="B66" s="59" t="s">
        <v>148</v>
      </c>
      <c r="C66" s="11">
        <f>SUM(D66:N66)</f>
        <v>0</v>
      </c>
      <c r="D66" s="251"/>
      <c r="E66" s="251">
        <v>0</v>
      </c>
      <c r="F66" s="251"/>
      <c r="G66" s="252"/>
      <c r="H66" s="60"/>
      <c r="I66" s="50"/>
      <c r="J66" s="87"/>
      <c r="K66" s="87"/>
      <c r="L66" s="50"/>
      <c r="M66" s="50"/>
      <c r="N66" s="50"/>
      <c r="O66" s="106"/>
      <c r="P66" s="50"/>
      <c r="Q66" s="349" t="s">
        <v>11</v>
      </c>
      <c r="R66" s="350" t="s">
        <v>62</v>
      </c>
      <c r="S66" s="337">
        <v>0</v>
      </c>
      <c r="T66" s="339">
        <v>0</v>
      </c>
    </row>
    <row r="67" spans="1:20" s="358" customFormat="1" hidden="1">
      <c r="A67" s="62"/>
      <c r="B67" s="59" t="s">
        <v>144</v>
      </c>
      <c r="C67" s="11">
        <f>SUM(D67:N67)</f>
        <v>0</v>
      </c>
      <c r="D67" s="249">
        <v>0</v>
      </c>
      <c r="E67" s="249"/>
      <c r="F67" s="249"/>
      <c r="G67" s="251">
        <v>0</v>
      </c>
      <c r="H67" s="105"/>
      <c r="I67" s="50"/>
      <c r="J67" s="87"/>
      <c r="K67" s="50"/>
      <c r="L67" s="50"/>
      <c r="M67" s="50"/>
      <c r="N67" s="50"/>
      <c r="O67" s="106"/>
      <c r="P67" s="50"/>
      <c r="Q67" s="342" t="s">
        <v>80</v>
      </c>
      <c r="R67" s="341" t="s">
        <v>59</v>
      </c>
      <c r="S67" s="112">
        <f>IF(SUM(C65)&lt;0,-C65,0)</f>
        <v>0</v>
      </c>
      <c r="T67" s="339">
        <f>IF(SUM(C65)&gt;0,-C65,0)</f>
        <v>0</v>
      </c>
    </row>
    <row r="68" spans="1:20" s="358" customFormat="1" hidden="1">
      <c r="A68" s="62"/>
      <c r="B68" s="59" t="s">
        <v>57</v>
      </c>
      <c r="C68" s="64">
        <f>SUM(D68:N68)</f>
        <v>-1299.22</v>
      </c>
      <c r="D68" s="64"/>
      <c r="E68" s="64"/>
      <c r="F68" s="64"/>
      <c r="G68" s="64"/>
      <c r="H68" s="64">
        <v>-1299.22</v>
      </c>
      <c r="I68" s="64"/>
      <c r="J68" s="64"/>
      <c r="K68" s="64"/>
      <c r="L68" s="64"/>
      <c r="M68" s="64"/>
      <c r="N68" s="64"/>
      <c r="O68" s="99">
        <v>0.01</v>
      </c>
      <c r="P68" s="50"/>
      <c r="Q68" s="344" t="s">
        <v>154</v>
      </c>
      <c r="R68" s="341" t="s">
        <v>77</v>
      </c>
      <c r="S68" s="346">
        <v>0</v>
      </c>
      <c r="T68" s="339">
        <f>IF(SUM(C68)&gt;0,-C68,0)</f>
        <v>0</v>
      </c>
    </row>
    <row r="69" spans="1:20" s="358" customFormat="1" ht="16" hidden="1" thickBot="1">
      <c r="A69" s="104">
        <f>A65</f>
        <v>41425</v>
      </c>
      <c r="B69" s="50" t="s">
        <v>56</v>
      </c>
      <c r="C69" s="158">
        <f>SUM(C61:C68)</f>
        <v>-1560363.5299999998</v>
      </c>
      <c r="D69" s="158">
        <f>SUM(D61:D68)</f>
        <v>-883736.20005990437</v>
      </c>
      <c r="E69" s="158">
        <f>SUM(E61:E68)</f>
        <v>-659271.7478600872</v>
      </c>
      <c r="F69" s="158">
        <f t="shared" ref="F69:G69" si="12">SUM(F61:F68)</f>
        <v>0</v>
      </c>
      <c r="G69" s="158">
        <f t="shared" si="12"/>
        <v>0</v>
      </c>
      <c r="H69" s="158">
        <f>SUM(H61:H68)</f>
        <v>-17355.582080008451</v>
      </c>
      <c r="I69" s="158">
        <f t="shared" ref="I69:N69" si="13">SUM(I61:I68)</f>
        <v>0</v>
      </c>
      <c r="J69" s="158">
        <f t="shared" si="13"/>
        <v>0</v>
      </c>
      <c r="K69" s="158">
        <f t="shared" si="13"/>
        <v>0</v>
      </c>
      <c r="L69" s="158">
        <f t="shared" si="13"/>
        <v>0</v>
      </c>
      <c r="M69" s="158">
        <f t="shared" si="13"/>
        <v>0</v>
      </c>
      <c r="N69" s="158">
        <f t="shared" si="13"/>
        <v>0</v>
      </c>
      <c r="O69" s="50"/>
      <c r="P69" s="50"/>
      <c r="Q69" s="345" t="s">
        <v>83</v>
      </c>
      <c r="R69" s="343" t="s">
        <v>78</v>
      </c>
      <c r="S69" s="116">
        <f>IF(SUM(C68)&lt;0,-C68,0)</f>
        <v>1299.22</v>
      </c>
      <c r="T69" s="393">
        <v>0</v>
      </c>
    </row>
    <row r="70" spans="1:20" s="358" customFormat="1" ht="16" hidden="1" thickTop="1">
      <c r="A70" s="53"/>
      <c r="B70" s="386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40">
        <v>0</v>
      </c>
    </row>
    <row r="71" spans="1:20" s="358" customFormat="1" ht="16" hidden="1" thickBot="1">
      <c r="A71" s="53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</row>
    <row r="72" spans="1:20" s="358" customFormat="1" ht="16" hidden="1" thickBot="1">
      <c r="A72" s="53"/>
      <c r="B72" s="386"/>
      <c r="C72" s="386"/>
      <c r="D72" s="386"/>
      <c r="E72" s="386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38" t="s">
        <v>107</v>
      </c>
      <c r="R72" s="334"/>
      <c r="S72" s="334"/>
      <c r="T72" s="229"/>
    </row>
    <row r="73" spans="1:20" s="358" customFormat="1" hidden="1">
      <c r="A73" s="58">
        <v>41426</v>
      </c>
      <c r="B73" s="59" t="s">
        <v>84</v>
      </c>
      <c r="C73" s="11">
        <f>SUM(D73:N73)</f>
        <v>0</v>
      </c>
      <c r="D73" s="250">
        <v>0</v>
      </c>
      <c r="E73" s="250">
        <v>0</v>
      </c>
      <c r="F73" s="251">
        <v>0</v>
      </c>
      <c r="G73" s="251">
        <v>0</v>
      </c>
      <c r="H73" s="50">
        <v>0</v>
      </c>
      <c r="I73" s="50"/>
      <c r="J73" s="50"/>
      <c r="K73" s="50"/>
      <c r="L73" s="50"/>
      <c r="M73" s="50"/>
      <c r="N73" s="50">
        <v>0</v>
      </c>
      <c r="O73" s="106"/>
      <c r="P73" s="50"/>
      <c r="Q73" s="394" t="s">
        <v>211</v>
      </c>
      <c r="R73" s="395" t="s">
        <v>209</v>
      </c>
      <c r="S73" s="337">
        <f>IF(SUM(C73:C76)&gt;0,C73+C74+C76+C75,0)</f>
        <v>0</v>
      </c>
      <c r="T73" s="339">
        <f>IF(SUM(C73:C76)&lt;0,C73+C74+C76+C75,0)</f>
        <v>-1300.3</v>
      </c>
    </row>
    <row r="74" spans="1:20" s="358" customFormat="1" hidden="1">
      <c r="A74" s="62"/>
      <c r="B74" s="59" t="s">
        <v>148</v>
      </c>
      <c r="C74" s="11">
        <f>SUM(D74:N74)</f>
        <v>0</v>
      </c>
      <c r="D74" s="251"/>
      <c r="E74" s="251">
        <v>0</v>
      </c>
      <c r="F74" s="251"/>
      <c r="G74" s="252"/>
      <c r="H74" s="60"/>
      <c r="I74" s="50"/>
      <c r="J74" s="87"/>
      <c r="K74" s="87"/>
      <c r="L74" s="50"/>
      <c r="M74" s="50"/>
      <c r="N74" s="50"/>
      <c r="O74" s="106"/>
      <c r="P74" s="50"/>
      <c r="Q74" s="349" t="s">
        <v>11</v>
      </c>
      <c r="R74" s="350" t="s">
        <v>62</v>
      </c>
      <c r="S74" s="337">
        <v>0</v>
      </c>
      <c r="T74" s="339">
        <v>0</v>
      </c>
    </row>
    <row r="75" spans="1:20" s="358" customFormat="1" hidden="1">
      <c r="A75" s="62"/>
      <c r="B75" s="59" t="s">
        <v>144</v>
      </c>
      <c r="C75" s="11">
        <f>SUM(D75:N75)</f>
        <v>0</v>
      </c>
      <c r="D75" s="249">
        <v>0</v>
      </c>
      <c r="E75" s="249"/>
      <c r="F75" s="249"/>
      <c r="G75" s="251">
        <v>0</v>
      </c>
      <c r="H75" s="105"/>
      <c r="I75" s="50"/>
      <c r="J75" s="87"/>
      <c r="K75" s="50"/>
      <c r="L75" s="50"/>
      <c r="M75" s="50"/>
      <c r="N75" s="50"/>
      <c r="O75" s="106"/>
      <c r="P75" s="50"/>
      <c r="Q75" s="342" t="s">
        <v>80</v>
      </c>
      <c r="R75" s="341" t="s">
        <v>59</v>
      </c>
      <c r="S75" s="112">
        <f>IF(SUM(C73)&lt;0,-C73,0)</f>
        <v>0</v>
      </c>
      <c r="T75" s="339">
        <f>IF(SUM(C73)&gt;0,-C73,0)</f>
        <v>0</v>
      </c>
    </row>
    <row r="76" spans="1:20" s="358" customFormat="1" hidden="1">
      <c r="A76" s="62"/>
      <c r="B76" s="59" t="s">
        <v>57</v>
      </c>
      <c r="C76" s="64">
        <f>SUM(D76:N76)</f>
        <v>-1300.3</v>
      </c>
      <c r="D76" s="64"/>
      <c r="E76" s="64"/>
      <c r="F76" s="64"/>
      <c r="G76" s="64"/>
      <c r="H76" s="64">
        <f>ROUND(((C69)+(C73)/2)*(O76/12),2)</f>
        <v>-1300.3</v>
      </c>
      <c r="I76" s="64"/>
      <c r="J76" s="64"/>
      <c r="K76" s="64"/>
      <c r="L76" s="64"/>
      <c r="M76" s="64"/>
      <c r="N76" s="64"/>
      <c r="O76" s="99">
        <v>0.01</v>
      </c>
      <c r="P76" s="50"/>
      <c r="Q76" s="344" t="s">
        <v>154</v>
      </c>
      <c r="R76" s="341" t="s">
        <v>77</v>
      </c>
      <c r="S76" s="346">
        <v>0</v>
      </c>
      <c r="T76" s="339">
        <f>IF(SUM(C76)&gt;0,-C76,0)</f>
        <v>0</v>
      </c>
    </row>
    <row r="77" spans="1:20" s="358" customFormat="1" ht="16" thickBot="1">
      <c r="A77" s="104">
        <f>A73</f>
        <v>41426</v>
      </c>
      <c r="B77" s="50" t="s">
        <v>56</v>
      </c>
      <c r="C77" s="158">
        <f>SUM(C69:C76)</f>
        <v>-1561663.8299999998</v>
      </c>
      <c r="D77" s="158">
        <f>SUM(D69:D76)</f>
        <v>-883736.20005990437</v>
      </c>
      <c r="E77" s="158">
        <f>SUM(E69:E76)</f>
        <v>-659271.7478600872</v>
      </c>
      <c r="F77" s="158">
        <f t="shared" ref="F77:G77" si="14">SUM(F69:F76)</f>
        <v>0</v>
      </c>
      <c r="G77" s="158">
        <f t="shared" si="14"/>
        <v>0</v>
      </c>
      <c r="H77" s="158">
        <f>SUM(H69:H76)</f>
        <v>-18655.88208000845</v>
      </c>
      <c r="I77" s="158">
        <f t="shared" ref="I77:N77" si="15">SUM(I69:I76)</f>
        <v>0</v>
      </c>
      <c r="J77" s="158">
        <f t="shared" si="15"/>
        <v>0</v>
      </c>
      <c r="K77" s="158">
        <f t="shared" si="15"/>
        <v>0</v>
      </c>
      <c r="L77" s="158">
        <f t="shared" si="15"/>
        <v>0</v>
      </c>
      <c r="M77" s="158">
        <f t="shared" si="15"/>
        <v>0</v>
      </c>
      <c r="N77" s="158">
        <f t="shared" si="15"/>
        <v>0</v>
      </c>
      <c r="O77" s="50"/>
      <c r="P77" s="50"/>
      <c r="Q77" s="345" t="s">
        <v>83</v>
      </c>
      <c r="R77" s="343" t="s">
        <v>78</v>
      </c>
      <c r="S77" s="116">
        <f>IF(SUM(C76)&lt;0,-C76,0)</f>
        <v>1300.3</v>
      </c>
      <c r="T77" s="393">
        <v>0</v>
      </c>
    </row>
    <row r="78" spans="1:20" s="358" customFormat="1" ht="16" thickTop="1">
      <c r="A78" s="53"/>
      <c r="B78" s="386"/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40">
        <v>0</v>
      </c>
    </row>
    <row r="79" spans="1:20" s="358" customFormat="1" ht="16" thickBot="1">
      <c r="A79" s="366"/>
      <c r="B79" s="361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72"/>
      <c r="P79" s="318"/>
      <c r="Q79" s="373"/>
      <c r="R79" s="364"/>
      <c r="S79" s="371"/>
      <c r="T79" s="371"/>
    </row>
    <row r="80" spans="1:20" s="358" customFormat="1" ht="16" thickBot="1">
      <c r="A80" s="53"/>
      <c r="B80" s="386"/>
      <c r="C80" s="386"/>
      <c r="D80" s="386"/>
      <c r="E80" s="386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38" t="s">
        <v>107</v>
      </c>
      <c r="R80" s="334"/>
      <c r="S80" s="334"/>
      <c r="T80" s="229"/>
    </row>
    <row r="81" spans="1:20" s="358" customFormat="1">
      <c r="A81" s="58">
        <v>41456</v>
      </c>
      <c r="B81" s="59" t="s">
        <v>84</v>
      </c>
      <c r="C81" s="11">
        <f>SUM(D81:N81)</f>
        <v>0</v>
      </c>
      <c r="D81" s="250">
        <v>0</v>
      </c>
      <c r="E81" s="250">
        <v>0</v>
      </c>
      <c r="F81" s="251">
        <v>0</v>
      </c>
      <c r="G81" s="251">
        <v>0</v>
      </c>
      <c r="H81" s="50">
        <v>0</v>
      </c>
      <c r="I81" s="50"/>
      <c r="J81" s="50"/>
      <c r="K81" s="50"/>
      <c r="L81" s="50"/>
      <c r="M81" s="50"/>
      <c r="N81" s="50">
        <v>0</v>
      </c>
      <c r="O81" s="106"/>
      <c r="P81" s="50"/>
      <c r="Q81" s="394" t="s">
        <v>211</v>
      </c>
      <c r="R81" s="395" t="s">
        <v>209</v>
      </c>
      <c r="S81" s="337">
        <f>IF(SUM(C81:C84)&gt;0,C81+C82+C84+C83,0)</f>
        <v>0</v>
      </c>
      <c r="T81" s="339">
        <f>IF(SUM(C81:C84)&lt;0,C81+C82+C84+C83,0)</f>
        <v>-1301.3900000000001</v>
      </c>
    </row>
    <row r="82" spans="1:20" s="358" customFormat="1">
      <c r="A82" s="62"/>
      <c r="B82" s="59" t="s">
        <v>148</v>
      </c>
      <c r="C82" s="11">
        <f>SUM(D82:N82)</f>
        <v>0</v>
      </c>
      <c r="D82" s="251"/>
      <c r="E82" s="251">
        <v>0</v>
      </c>
      <c r="F82" s="251"/>
      <c r="G82" s="252"/>
      <c r="H82" s="60"/>
      <c r="I82" s="50"/>
      <c r="J82" s="87"/>
      <c r="K82" s="87"/>
      <c r="L82" s="50"/>
      <c r="M82" s="50"/>
      <c r="N82" s="50"/>
      <c r="O82" s="106"/>
      <c r="P82" s="50"/>
      <c r="Q82" s="349" t="s">
        <v>11</v>
      </c>
      <c r="R82" s="350" t="s">
        <v>62</v>
      </c>
      <c r="S82" s="337">
        <v>0</v>
      </c>
      <c r="T82" s="339">
        <v>0</v>
      </c>
    </row>
    <row r="83" spans="1:20" s="358" customFormat="1">
      <c r="A83" s="62"/>
      <c r="B83" s="59" t="s">
        <v>144</v>
      </c>
      <c r="C83" s="11">
        <f>SUM(D83:N83)</f>
        <v>0</v>
      </c>
      <c r="D83" s="249">
        <v>0</v>
      </c>
      <c r="E83" s="249"/>
      <c r="F83" s="249"/>
      <c r="G83" s="251">
        <v>0</v>
      </c>
      <c r="H83" s="105"/>
      <c r="I83" s="50"/>
      <c r="J83" s="87"/>
      <c r="K83" s="50"/>
      <c r="L83" s="50"/>
      <c r="M83" s="50"/>
      <c r="N83" s="50"/>
      <c r="O83" s="106"/>
      <c r="P83" s="50"/>
      <c r="Q83" s="342" t="s">
        <v>80</v>
      </c>
      <c r="R83" s="341" t="s">
        <v>59</v>
      </c>
      <c r="S83" s="112">
        <f>IF(SUM(C81)&lt;0,-C81,0)</f>
        <v>0</v>
      </c>
      <c r="T83" s="339">
        <f>IF(SUM(C81)&gt;0,-C81,0)</f>
        <v>0</v>
      </c>
    </row>
    <row r="84" spans="1:20" s="358" customFormat="1">
      <c r="A84" s="62"/>
      <c r="B84" s="59" t="s">
        <v>57</v>
      </c>
      <c r="C84" s="64">
        <f>SUM(D84:N84)</f>
        <v>-1301.3900000000001</v>
      </c>
      <c r="D84" s="64"/>
      <c r="E84" s="64"/>
      <c r="F84" s="64"/>
      <c r="G84" s="64"/>
      <c r="H84" s="64">
        <f>ROUND(((C77)+(C81)/2)*(O84/12),2)</f>
        <v>-1301.3900000000001</v>
      </c>
      <c r="I84" s="64"/>
      <c r="J84" s="64"/>
      <c r="K84" s="64"/>
      <c r="L84" s="64"/>
      <c r="M84" s="64"/>
      <c r="N84" s="64"/>
      <c r="O84" s="99">
        <v>0.01</v>
      </c>
      <c r="P84" s="50"/>
      <c r="Q84" s="344" t="s">
        <v>154</v>
      </c>
      <c r="R84" s="341" t="s">
        <v>77</v>
      </c>
      <c r="S84" s="346">
        <v>0</v>
      </c>
      <c r="T84" s="339">
        <f>IF(SUM(C84)&gt;0,-C84,0)</f>
        <v>0</v>
      </c>
    </row>
    <row r="85" spans="1:20" s="358" customFormat="1" ht="16" thickBot="1">
      <c r="A85" s="104">
        <f>A81</f>
        <v>41456</v>
      </c>
      <c r="B85" s="50" t="s">
        <v>56</v>
      </c>
      <c r="C85" s="158">
        <f>SUM(C77:C84)</f>
        <v>-1562965.2199999997</v>
      </c>
      <c r="D85" s="158">
        <f>SUM(D77:D84)</f>
        <v>-883736.20005990437</v>
      </c>
      <c r="E85" s="158">
        <f>SUM(E77:E84)</f>
        <v>-659271.7478600872</v>
      </c>
      <c r="F85" s="158">
        <f t="shared" ref="F85:G85" si="16">SUM(F77:F84)</f>
        <v>0</v>
      </c>
      <c r="G85" s="158">
        <f t="shared" si="16"/>
        <v>0</v>
      </c>
      <c r="H85" s="158">
        <f>SUM(H77:H84)</f>
        <v>-19957.27208000845</v>
      </c>
      <c r="I85" s="158">
        <f t="shared" ref="I85:N85" si="17">SUM(I77:I84)</f>
        <v>0</v>
      </c>
      <c r="J85" s="158">
        <f t="shared" si="17"/>
        <v>0</v>
      </c>
      <c r="K85" s="158">
        <f t="shared" si="17"/>
        <v>0</v>
      </c>
      <c r="L85" s="158">
        <f t="shared" si="17"/>
        <v>0</v>
      </c>
      <c r="M85" s="158">
        <f t="shared" si="17"/>
        <v>0</v>
      </c>
      <c r="N85" s="158">
        <f t="shared" si="17"/>
        <v>0</v>
      </c>
      <c r="O85" s="50"/>
      <c r="P85" s="50"/>
      <c r="Q85" s="345" t="s">
        <v>83</v>
      </c>
      <c r="R85" s="343" t="s">
        <v>78</v>
      </c>
      <c r="S85" s="116">
        <f>IF(SUM(C84)&lt;0,-C84,0)</f>
        <v>1301.3900000000001</v>
      </c>
      <c r="T85" s="393">
        <v>0</v>
      </c>
    </row>
    <row r="86" spans="1:20" s="358" customFormat="1" ht="16" thickTop="1">
      <c r="A86" s="53"/>
      <c r="B86" s="386"/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40">
        <v>0</v>
      </c>
    </row>
    <row r="87" spans="1:20" s="358" customFormat="1" ht="16" thickBot="1">
      <c r="A87" s="366"/>
      <c r="B87" s="361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72"/>
      <c r="P87" s="318"/>
      <c r="Q87" s="373"/>
      <c r="R87" s="364"/>
      <c r="S87" s="371"/>
      <c r="T87" s="371"/>
    </row>
    <row r="88" spans="1:20" s="358" customFormat="1" ht="16" thickBot="1">
      <c r="A88" s="53"/>
      <c r="B88" s="386"/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  <c r="Q88" s="338" t="s">
        <v>107</v>
      </c>
      <c r="R88" s="334"/>
      <c r="S88" s="334"/>
      <c r="T88" s="229"/>
    </row>
    <row r="89" spans="1:20" s="358" customFormat="1">
      <c r="A89" s="58">
        <v>41487</v>
      </c>
      <c r="B89" s="59" t="s">
        <v>84</v>
      </c>
      <c r="C89" s="11">
        <f>SUM(D89:N89)</f>
        <v>0</v>
      </c>
      <c r="D89" s="250">
        <v>0</v>
      </c>
      <c r="E89" s="250">
        <v>0</v>
      </c>
      <c r="F89" s="251">
        <v>0</v>
      </c>
      <c r="G89" s="251">
        <v>0</v>
      </c>
      <c r="H89" s="50">
        <v>0</v>
      </c>
      <c r="I89" s="50"/>
      <c r="J89" s="50"/>
      <c r="K89" s="50"/>
      <c r="L89" s="50"/>
      <c r="M89" s="50"/>
      <c r="N89" s="50">
        <v>0</v>
      </c>
      <c r="O89" s="106"/>
      <c r="P89" s="50"/>
      <c r="Q89" s="394" t="s">
        <v>211</v>
      </c>
      <c r="R89" s="395" t="s">
        <v>209</v>
      </c>
      <c r="S89" s="337">
        <f>IF(SUM(C89:C92)&gt;0,C89+C90+C92+C91,0)</f>
        <v>0</v>
      </c>
      <c r="T89" s="339">
        <f>IF(SUM(C89:C92)&lt;0,C89+C90+C92+C91,0)</f>
        <v>-1302.47</v>
      </c>
    </row>
    <row r="90" spans="1:20" s="358" customFormat="1">
      <c r="A90" s="62"/>
      <c r="B90" s="59" t="s">
        <v>148</v>
      </c>
      <c r="C90" s="11">
        <f>SUM(D90:N90)</f>
        <v>0</v>
      </c>
      <c r="D90" s="251"/>
      <c r="E90" s="251">
        <v>0</v>
      </c>
      <c r="F90" s="251"/>
      <c r="G90" s="252"/>
      <c r="H90" s="60"/>
      <c r="I90" s="50"/>
      <c r="J90" s="87"/>
      <c r="K90" s="87"/>
      <c r="L90" s="50"/>
      <c r="M90" s="50"/>
      <c r="N90" s="50"/>
      <c r="O90" s="106"/>
      <c r="P90" s="50"/>
      <c r="Q90" s="349" t="s">
        <v>11</v>
      </c>
      <c r="R90" s="350" t="s">
        <v>62</v>
      </c>
      <c r="S90" s="337">
        <v>0</v>
      </c>
      <c r="T90" s="339">
        <v>0</v>
      </c>
    </row>
    <row r="91" spans="1:20" s="358" customFormat="1">
      <c r="A91" s="62"/>
      <c r="B91" s="59" t="s">
        <v>144</v>
      </c>
      <c r="C91" s="11">
        <f>SUM(D91:N91)</f>
        <v>0</v>
      </c>
      <c r="D91" s="249">
        <v>0</v>
      </c>
      <c r="E91" s="249"/>
      <c r="F91" s="249"/>
      <c r="G91" s="251">
        <v>0</v>
      </c>
      <c r="H91" s="105"/>
      <c r="I91" s="50"/>
      <c r="J91" s="87"/>
      <c r="K91" s="50"/>
      <c r="L91" s="50"/>
      <c r="M91" s="50"/>
      <c r="N91" s="50"/>
      <c r="O91" s="106"/>
      <c r="P91" s="50"/>
      <c r="Q91" s="342" t="s">
        <v>80</v>
      </c>
      <c r="R91" s="341" t="s">
        <v>59</v>
      </c>
      <c r="S91" s="112">
        <f>IF(SUM(C89)&lt;0,-C89,0)</f>
        <v>0</v>
      </c>
      <c r="T91" s="339">
        <f>IF(SUM(C89)&gt;0,-C89,0)</f>
        <v>0</v>
      </c>
    </row>
    <row r="92" spans="1:20" s="358" customFormat="1">
      <c r="A92" s="62"/>
      <c r="B92" s="59" t="s">
        <v>57</v>
      </c>
      <c r="C92" s="64">
        <f>SUM(D92:N92)</f>
        <v>-1302.47</v>
      </c>
      <c r="D92" s="64"/>
      <c r="E92" s="64"/>
      <c r="F92" s="64"/>
      <c r="G92" s="64"/>
      <c r="H92" s="64">
        <v>-1302.47</v>
      </c>
      <c r="I92" s="64"/>
      <c r="J92" s="64"/>
      <c r="K92" s="64"/>
      <c r="L92" s="64"/>
      <c r="M92" s="64"/>
      <c r="N92" s="64"/>
      <c r="O92" s="99">
        <v>0.01</v>
      </c>
      <c r="P92" s="50"/>
      <c r="Q92" s="344" t="s">
        <v>154</v>
      </c>
      <c r="R92" s="341" t="s">
        <v>77</v>
      </c>
      <c r="S92" s="346">
        <v>0</v>
      </c>
      <c r="T92" s="339">
        <f>IF(SUM(C92)&gt;0,-C92,0)</f>
        <v>0</v>
      </c>
    </row>
    <row r="93" spans="1:20" s="358" customFormat="1" ht="16" thickBot="1">
      <c r="A93" s="104">
        <f>A89</f>
        <v>41487</v>
      </c>
      <c r="B93" s="50" t="s">
        <v>56</v>
      </c>
      <c r="C93" s="158">
        <f>SUM(C85:C92)</f>
        <v>-1564267.6899999997</v>
      </c>
      <c r="D93" s="158">
        <f>SUM(D85:D92)</f>
        <v>-883736.20005990437</v>
      </c>
      <c r="E93" s="158">
        <f>SUM(E85:E92)</f>
        <v>-659271.7478600872</v>
      </c>
      <c r="F93" s="158">
        <f t="shared" ref="F93:G93" si="18">SUM(F85:F92)</f>
        <v>0</v>
      </c>
      <c r="G93" s="158">
        <f t="shared" si="18"/>
        <v>0</v>
      </c>
      <c r="H93" s="158">
        <f>SUM(H85:H92)</f>
        <v>-21259.742080008451</v>
      </c>
      <c r="I93" s="158">
        <f t="shared" ref="I93:N93" si="19">SUM(I85:I92)</f>
        <v>0</v>
      </c>
      <c r="J93" s="158">
        <f t="shared" si="19"/>
        <v>0</v>
      </c>
      <c r="K93" s="158">
        <f t="shared" si="19"/>
        <v>0</v>
      </c>
      <c r="L93" s="158">
        <f t="shared" si="19"/>
        <v>0</v>
      </c>
      <c r="M93" s="158">
        <f t="shared" si="19"/>
        <v>0</v>
      </c>
      <c r="N93" s="158">
        <f t="shared" si="19"/>
        <v>0</v>
      </c>
      <c r="O93" s="50"/>
      <c r="P93" s="50"/>
      <c r="Q93" s="345" t="s">
        <v>83</v>
      </c>
      <c r="R93" s="343" t="s">
        <v>78</v>
      </c>
      <c r="S93" s="116">
        <f>IF(SUM(C92)&lt;0,-C92,0)</f>
        <v>1302.47</v>
      </c>
      <c r="T93" s="393">
        <v>0</v>
      </c>
    </row>
    <row r="94" spans="1:20" s="358" customFormat="1" ht="16" thickTop="1">
      <c r="A94" s="53"/>
      <c r="B94" s="386"/>
      <c r="C94" s="386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40">
        <f>SUM(S89:T93)</f>
        <v>0</v>
      </c>
    </row>
    <row r="95" spans="1:20" s="358" customFormat="1" ht="16" thickBot="1">
      <c r="A95" s="374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73"/>
      <c r="R95" s="375"/>
      <c r="S95" s="371"/>
      <c r="T95" s="371"/>
    </row>
    <row r="96" spans="1:20" s="358" customFormat="1" ht="16" thickBot="1">
      <c r="A96" s="53"/>
      <c r="B96" s="386"/>
      <c r="C96" s="386"/>
      <c r="D96" s="386"/>
      <c r="E96" s="386"/>
      <c r="F96" s="386"/>
      <c r="G96" s="386"/>
      <c r="H96" s="386"/>
      <c r="I96" s="386"/>
      <c r="J96" s="386"/>
      <c r="K96" s="386"/>
      <c r="L96" s="386"/>
      <c r="M96" s="386"/>
      <c r="N96" s="386"/>
      <c r="O96" s="386"/>
      <c r="P96" s="386"/>
      <c r="Q96" s="338" t="s">
        <v>107</v>
      </c>
      <c r="R96" s="334"/>
      <c r="S96" s="334"/>
      <c r="T96" s="229"/>
    </row>
    <row r="97" spans="1:20" s="358" customFormat="1">
      <c r="A97" s="58">
        <v>41518</v>
      </c>
      <c r="B97" s="59" t="s">
        <v>84</v>
      </c>
      <c r="C97" s="11">
        <f>SUM(D97:N97)</f>
        <v>0</v>
      </c>
      <c r="D97" s="250">
        <v>0</v>
      </c>
      <c r="E97" s="250">
        <v>0</v>
      </c>
      <c r="F97" s="251">
        <v>0</v>
      </c>
      <c r="G97" s="251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94" t="s">
        <v>211</v>
      </c>
      <c r="R97" s="395" t="s">
        <v>209</v>
      </c>
      <c r="S97" s="337">
        <f>IF(SUM(C97:C100)&gt;0,C97+C98+C100+C99,0)</f>
        <v>0</v>
      </c>
      <c r="T97" s="339">
        <f>IF(SUM(C97:C100)&lt;0,C97+C98+C100+C99,0)</f>
        <v>-1303.56</v>
      </c>
    </row>
    <row r="98" spans="1:20" s="358" customFormat="1">
      <c r="A98" s="62"/>
      <c r="B98" s="59" t="s">
        <v>148</v>
      </c>
      <c r="C98" s="11">
        <f>SUM(D98:N98)</f>
        <v>0</v>
      </c>
      <c r="D98" s="251"/>
      <c r="E98" s="251">
        <v>0</v>
      </c>
      <c r="F98" s="251"/>
      <c r="G98" s="252"/>
      <c r="H98" s="60"/>
      <c r="I98" s="50"/>
      <c r="J98" s="87"/>
      <c r="K98" s="87"/>
      <c r="L98" s="50"/>
      <c r="M98" s="50"/>
      <c r="N98" s="50"/>
      <c r="O98" s="106"/>
      <c r="P98" s="50"/>
      <c r="Q98" s="349" t="s">
        <v>11</v>
      </c>
      <c r="R98" s="350" t="s">
        <v>62</v>
      </c>
      <c r="S98" s="337">
        <v>0</v>
      </c>
      <c r="T98" s="339">
        <v>0</v>
      </c>
    </row>
    <row r="99" spans="1:20" s="358" customFormat="1">
      <c r="A99" s="62"/>
      <c r="B99" s="59" t="s">
        <v>144</v>
      </c>
      <c r="C99" s="11">
        <f>SUM(D99:N99)</f>
        <v>0</v>
      </c>
      <c r="D99" s="249">
        <v>0</v>
      </c>
      <c r="E99" s="249"/>
      <c r="F99" s="249"/>
      <c r="G99" s="251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2" t="s">
        <v>80</v>
      </c>
      <c r="R99" s="341" t="s">
        <v>59</v>
      </c>
      <c r="S99" s="112">
        <f>IF(SUM(C97)&lt;0,-C97,0)</f>
        <v>0</v>
      </c>
      <c r="T99" s="339">
        <f>IF(SUM(C97)&gt;0,-C97,0)</f>
        <v>0</v>
      </c>
    </row>
    <row r="100" spans="1:20" s="358" customFormat="1">
      <c r="A100" s="62"/>
      <c r="B100" s="59" t="s">
        <v>57</v>
      </c>
      <c r="C100" s="64">
        <f>SUM(D100:N100)</f>
        <v>-1303.56</v>
      </c>
      <c r="D100" s="64"/>
      <c r="E100" s="64"/>
      <c r="F100" s="64"/>
      <c r="G100" s="64"/>
      <c r="H100" s="64">
        <f>ROUND(((C93)+(C97)/2)*(O100/12),2)</f>
        <v>-1303.56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4" t="s">
        <v>154</v>
      </c>
      <c r="R100" s="341" t="s">
        <v>77</v>
      </c>
      <c r="S100" s="346">
        <v>0</v>
      </c>
      <c r="T100" s="339">
        <f>IF(SUM(C100)&gt;0,-C100,0)</f>
        <v>0</v>
      </c>
    </row>
    <row r="101" spans="1:20" s="358" customFormat="1" ht="16" thickBot="1">
      <c r="A101" s="104">
        <f>A97</f>
        <v>41518</v>
      </c>
      <c r="B101" s="50" t="s">
        <v>56</v>
      </c>
      <c r="C101" s="158">
        <f>SUM(C93:C100)</f>
        <v>-1565571.2499999998</v>
      </c>
      <c r="D101" s="158">
        <f>SUM(D93:D100)</f>
        <v>-883736.20005990437</v>
      </c>
      <c r="E101" s="158">
        <f>SUM(E93:E100)</f>
        <v>-659271.7478600872</v>
      </c>
      <c r="F101" s="158">
        <f t="shared" ref="F101:G101" si="20">SUM(F93:F100)</f>
        <v>0</v>
      </c>
      <c r="G101" s="158">
        <f t="shared" si="20"/>
        <v>0</v>
      </c>
      <c r="H101" s="158">
        <f>SUM(H93:H100)</f>
        <v>-22563.302080008452</v>
      </c>
      <c r="I101" s="158">
        <f t="shared" ref="I101:N101" si="21">SUM(I93:I100)</f>
        <v>0</v>
      </c>
      <c r="J101" s="158">
        <f t="shared" si="21"/>
        <v>0</v>
      </c>
      <c r="K101" s="158">
        <f t="shared" si="21"/>
        <v>0</v>
      </c>
      <c r="L101" s="158">
        <f t="shared" si="21"/>
        <v>0</v>
      </c>
      <c r="M101" s="158">
        <f t="shared" si="21"/>
        <v>0</v>
      </c>
      <c r="N101" s="158">
        <f t="shared" si="21"/>
        <v>0</v>
      </c>
      <c r="O101" s="50"/>
      <c r="P101" s="50"/>
      <c r="Q101" s="345" t="s">
        <v>83</v>
      </c>
      <c r="R101" s="343" t="s">
        <v>78</v>
      </c>
      <c r="S101" s="116">
        <f>IF(SUM(C100)&lt;0,-C100,0)</f>
        <v>1303.56</v>
      </c>
      <c r="T101" s="393">
        <v>0</v>
      </c>
    </row>
    <row r="102" spans="1:20" s="358" customFormat="1" ht="16" thickTop="1">
      <c r="A102" s="53"/>
      <c r="B102" s="386"/>
      <c r="C102" s="386"/>
      <c r="D102" s="386"/>
      <c r="E102" s="386"/>
      <c r="F102" s="386"/>
      <c r="G102" s="386"/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6"/>
      <c r="T102" s="340">
        <f>SUM(S97:T101)</f>
        <v>0</v>
      </c>
    </row>
    <row r="103" spans="1:20" s="412" customFormat="1">
      <c r="A103" s="461"/>
      <c r="B103" s="390" t="s">
        <v>226</v>
      </c>
      <c r="T103" s="437"/>
    </row>
    <row r="104" spans="1:20" s="358" customFormat="1">
      <c r="A104" s="357"/>
      <c r="T104" s="371"/>
    </row>
    <row r="105" spans="1:20" s="358" customFormat="1">
      <c r="A105" s="357"/>
      <c r="Q105" s="359"/>
      <c r="T105" s="371"/>
    </row>
    <row r="106" spans="1:20" s="358" customFormat="1">
      <c r="A106" s="360"/>
      <c r="B106" s="361"/>
      <c r="C106" s="318"/>
      <c r="D106" s="354"/>
      <c r="E106" s="354"/>
      <c r="F106" s="355"/>
      <c r="G106" s="355"/>
      <c r="H106" s="318"/>
      <c r="I106" s="318"/>
      <c r="J106" s="318"/>
      <c r="K106" s="318"/>
      <c r="L106" s="318"/>
      <c r="M106" s="318"/>
      <c r="N106" s="318"/>
      <c r="O106" s="362"/>
      <c r="P106" s="318"/>
      <c r="Q106" s="363"/>
      <c r="R106" s="364"/>
      <c r="S106" s="365"/>
      <c r="T106" s="371"/>
    </row>
    <row r="107" spans="1:20" s="358" customFormat="1">
      <c r="A107" s="366"/>
      <c r="B107" s="361"/>
      <c r="C107" s="318"/>
      <c r="D107" s="355"/>
      <c r="E107" s="355"/>
      <c r="F107" s="355"/>
      <c r="G107" s="356"/>
      <c r="H107" s="355"/>
      <c r="I107" s="318"/>
      <c r="J107" s="356"/>
      <c r="K107" s="356"/>
      <c r="L107" s="318"/>
      <c r="M107" s="318"/>
      <c r="N107" s="318"/>
      <c r="O107" s="362"/>
      <c r="P107" s="318"/>
      <c r="Q107" s="367"/>
      <c r="R107" s="368"/>
      <c r="S107" s="365"/>
      <c r="T107" s="371"/>
    </row>
    <row r="108" spans="1:20" s="358" customFormat="1">
      <c r="A108" s="366"/>
      <c r="B108" s="361"/>
      <c r="C108" s="318"/>
      <c r="D108" s="318"/>
      <c r="E108" s="318"/>
      <c r="F108" s="318"/>
      <c r="G108" s="355"/>
      <c r="H108" s="369"/>
      <c r="I108" s="318"/>
      <c r="J108" s="356"/>
      <c r="K108" s="318"/>
      <c r="L108" s="318"/>
      <c r="M108" s="318"/>
      <c r="N108" s="318"/>
      <c r="O108" s="362"/>
      <c r="P108" s="318"/>
      <c r="Q108" s="370"/>
      <c r="R108" s="364"/>
      <c r="S108" s="371"/>
      <c r="T108" s="371"/>
    </row>
    <row r="109" spans="1:20" s="358" customFormat="1">
      <c r="A109" s="366"/>
      <c r="B109" s="361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72"/>
      <c r="P109" s="318"/>
      <c r="Q109" s="373"/>
      <c r="R109" s="364"/>
      <c r="S109" s="371"/>
      <c r="T109" s="371"/>
    </row>
    <row r="110" spans="1:20" s="358" customFormat="1">
      <c r="A110" s="374"/>
      <c r="B110" s="318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73"/>
      <c r="R110" s="375"/>
      <c r="S110" s="371"/>
      <c r="T110" s="371"/>
    </row>
    <row r="111" spans="1:20" s="358" customFormat="1">
      <c r="A111" s="357"/>
      <c r="T111" s="371"/>
    </row>
    <row r="112" spans="1:20" s="358" customFormat="1">
      <c r="A112" s="357"/>
      <c r="T112" s="371"/>
    </row>
    <row r="113" spans="1:20" s="358" customFormat="1">
      <c r="A113" s="357"/>
      <c r="Q113" s="359"/>
      <c r="T113" s="371"/>
    </row>
    <row r="114" spans="1:20" s="358" customFormat="1">
      <c r="A114" s="360"/>
      <c r="B114" s="361"/>
      <c r="C114" s="318"/>
      <c r="D114" s="354"/>
      <c r="E114" s="354"/>
      <c r="F114" s="355"/>
      <c r="G114" s="355"/>
      <c r="H114" s="318"/>
      <c r="I114" s="318"/>
      <c r="J114" s="318"/>
      <c r="K114" s="318"/>
      <c r="L114" s="318"/>
      <c r="M114" s="318"/>
      <c r="N114" s="318"/>
      <c r="O114" s="362"/>
      <c r="P114" s="318"/>
      <c r="Q114" s="363"/>
      <c r="R114" s="364"/>
      <c r="S114" s="365"/>
      <c r="T114" s="371"/>
    </row>
    <row r="115" spans="1:20" s="358" customFormat="1">
      <c r="A115" s="366"/>
      <c r="B115" s="361"/>
      <c r="C115" s="318"/>
      <c r="D115" s="355"/>
      <c r="E115" s="355"/>
      <c r="F115" s="355"/>
      <c r="G115" s="356"/>
      <c r="H115" s="355"/>
      <c r="I115" s="318"/>
      <c r="J115" s="356"/>
      <c r="K115" s="356"/>
      <c r="L115" s="318"/>
      <c r="M115" s="318"/>
      <c r="N115" s="318"/>
      <c r="O115" s="362"/>
      <c r="P115" s="318"/>
      <c r="Q115" s="367"/>
      <c r="R115" s="368"/>
      <c r="S115" s="365"/>
      <c r="T115" s="371"/>
    </row>
    <row r="116" spans="1:20" s="358" customFormat="1">
      <c r="A116" s="366"/>
      <c r="B116" s="361"/>
      <c r="C116" s="318"/>
      <c r="D116" s="318"/>
      <c r="E116" s="318"/>
      <c r="F116" s="318"/>
      <c r="G116" s="355"/>
      <c r="H116" s="369"/>
      <c r="I116" s="318"/>
      <c r="J116" s="356"/>
      <c r="K116" s="318"/>
      <c r="L116" s="318"/>
      <c r="M116" s="318"/>
      <c r="N116" s="318"/>
      <c r="O116" s="362"/>
      <c r="P116" s="318"/>
      <c r="Q116" s="370"/>
      <c r="R116" s="364"/>
      <c r="S116" s="371"/>
      <c r="T116" s="371"/>
    </row>
    <row r="117" spans="1:20" s="358" customFormat="1">
      <c r="A117" s="366"/>
      <c r="B117" s="361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72"/>
      <c r="P117" s="318"/>
      <c r="Q117" s="373"/>
      <c r="R117" s="364"/>
      <c r="S117" s="371"/>
      <c r="T117" s="371"/>
    </row>
    <row r="118" spans="1:20" s="358" customFormat="1">
      <c r="A118" s="374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73"/>
      <c r="R118" s="375"/>
      <c r="S118" s="371"/>
      <c r="T118" s="371"/>
    </row>
    <row r="119" spans="1:20" s="358" customFormat="1">
      <c r="A119" s="374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73"/>
      <c r="R119" s="375"/>
      <c r="S119" s="371"/>
      <c r="T119" s="371"/>
    </row>
    <row r="120" spans="1:20" s="358" customFormat="1">
      <c r="A120" s="374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73"/>
      <c r="R120" s="375"/>
      <c r="S120" s="371"/>
      <c r="T120" s="371"/>
    </row>
    <row r="121" spans="1:20" s="358" customFormat="1">
      <c r="A121" s="357"/>
      <c r="Q121" s="359"/>
      <c r="T121" s="371"/>
    </row>
    <row r="122" spans="1:20" s="358" customFormat="1">
      <c r="A122" s="360"/>
      <c r="B122" s="361"/>
      <c r="C122" s="318"/>
      <c r="D122" s="354"/>
      <c r="E122" s="354"/>
      <c r="F122" s="355"/>
      <c r="G122" s="355"/>
      <c r="H122" s="318"/>
      <c r="I122" s="318"/>
      <c r="J122" s="318"/>
      <c r="K122" s="318"/>
      <c r="L122" s="318"/>
      <c r="M122" s="318"/>
      <c r="N122" s="318"/>
      <c r="O122" s="362"/>
      <c r="P122" s="318"/>
      <c r="Q122" s="363"/>
      <c r="R122" s="364"/>
      <c r="S122" s="365"/>
      <c r="T122" s="371"/>
    </row>
    <row r="123" spans="1:20" s="358" customFormat="1">
      <c r="A123" s="366"/>
      <c r="B123" s="361"/>
      <c r="C123" s="318"/>
      <c r="D123" s="355"/>
      <c r="E123" s="355"/>
      <c r="F123" s="355"/>
      <c r="G123" s="356"/>
      <c r="H123" s="355"/>
      <c r="I123" s="318"/>
      <c r="J123" s="356"/>
      <c r="K123" s="356"/>
      <c r="L123" s="318"/>
      <c r="M123" s="318"/>
      <c r="N123" s="318"/>
      <c r="O123" s="362"/>
      <c r="P123" s="318"/>
      <c r="Q123" s="367"/>
      <c r="R123" s="368"/>
      <c r="S123" s="365"/>
      <c r="T123" s="371"/>
    </row>
    <row r="124" spans="1:20" s="358" customFormat="1">
      <c r="A124" s="366"/>
      <c r="B124" s="361"/>
      <c r="C124" s="318"/>
      <c r="D124" s="318"/>
      <c r="E124" s="318"/>
      <c r="F124" s="318"/>
      <c r="G124" s="355"/>
      <c r="H124" s="369"/>
      <c r="I124" s="318"/>
      <c r="J124" s="356"/>
      <c r="K124" s="318"/>
      <c r="L124" s="318"/>
      <c r="M124" s="318"/>
      <c r="N124" s="318"/>
      <c r="O124" s="362"/>
      <c r="P124" s="318"/>
      <c r="Q124" s="370"/>
      <c r="R124" s="364"/>
      <c r="S124" s="371"/>
      <c r="T124" s="371"/>
    </row>
    <row r="125" spans="1:20" s="358" customFormat="1">
      <c r="A125" s="366"/>
      <c r="B125" s="361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72"/>
      <c r="P125" s="318"/>
      <c r="Q125" s="373"/>
      <c r="R125" s="364"/>
      <c r="S125" s="371"/>
      <c r="T125" s="371"/>
    </row>
    <row r="126" spans="1:20" s="358" customFormat="1">
      <c r="A126" s="374"/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73"/>
      <c r="R126" s="375"/>
      <c r="S126" s="371"/>
      <c r="T126" s="371"/>
    </row>
    <row r="127" spans="1:20" s="358" customFormat="1">
      <c r="A127" s="374"/>
      <c r="B127" s="318"/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  <c r="O127" s="318"/>
      <c r="P127" s="318"/>
      <c r="Q127" s="373"/>
      <c r="R127" s="375"/>
      <c r="S127" s="371"/>
      <c r="T127" s="371"/>
    </row>
    <row r="128" spans="1:20" s="358" customFormat="1">
      <c r="A128" s="374"/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77"/>
      <c r="N128" s="378"/>
      <c r="O128" s="379"/>
      <c r="P128" s="318"/>
      <c r="Q128" s="373"/>
      <c r="R128" s="375"/>
      <c r="S128" s="371"/>
      <c r="T128" s="371"/>
    </row>
    <row r="129" spans="1:20" s="358" customFormat="1">
      <c r="A129" s="374"/>
      <c r="B129" s="318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77"/>
      <c r="N129" s="378"/>
      <c r="P129" s="318"/>
      <c r="Q129" s="373"/>
      <c r="R129" s="375"/>
      <c r="S129" s="371"/>
      <c r="T129" s="371"/>
    </row>
    <row r="130" spans="1:20" s="358" customFormat="1">
      <c r="A130" s="374"/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77"/>
      <c r="N130" s="378"/>
      <c r="P130" s="318"/>
      <c r="Q130" s="373"/>
      <c r="R130" s="375"/>
      <c r="S130" s="371"/>
      <c r="T130" s="371"/>
    </row>
    <row r="131" spans="1:20" s="358" customFormat="1">
      <c r="A131" s="374"/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73"/>
      <c r="R131" s="375"/>
      <c r="S131" s="371"/>
      <c r="T131" s="371"/>
    </row>
    <row r="132" spans="1:20" s="358" customFormat="1">
      <c r="A132" s="357"/>
      <c r="Q132" s="359"/>
      <c r="T132" s="371"/>
    </row>
    <row r="133" spans="1:20" s="358" customFormat="1">
      <c r="A133" s="360"/>
      <c r="B133" s="361"/>
      <c r="C133" s="318"/>
      <c r="D133" s="354"/>
      <c r="E133" s="354"/>
      <c r="F133" s="355"/>
      <c r="G133" s="355"/>
      <c r="H133" s="318"/>
      <c r="I133" s="318"/>
      <c r="J133" s="318"/>
      <c r="K133" s="318"/>
      <c r="L133" s="318"/>
      <c r="M133" s="318"/>
      <c r="N133" s="318"/>
      <c r="O133" s="362"/>
      <c r="P133" s="318"/>
      <c r="Q133" s="363"/>
      <c r="R133" s="364"/>
      <c r="S133" s="365"/>
      <c r="T133" s="371"/>
    </row>
    <row r="134" spans="1:20" s="358" customFormat="1">
      <c r="A134" s="366"/>
      <c r="B134" s="361"/>
      <c r="C134" s="318"/>
      <c r="D134" s="355"/>
      <c r="E134" s="355"/>
      <c r="F134" s="355"/>
      <c r="G134" s="356"/>
      <c r="H134" s="355"/>
      <c r="I134" s="318"/>
      <c r="J134" s="356"/>
      <c r="K134" s="356"/>
      <c r="L134" s="318"/>
      <c r="M134" s="318"/>
      <c r="N134" s="318"/>
      <c r="O134" s="362"/>
      <c r="P134" s="318"/>
      <c r="Q134" s="367"/>
      <c r="R134" s="368"/>
      <c r="S134" s="365"/>
      <c r="T134" s="371"/>
    </row>
    <row r="135" spans="1:20" s="358" customFormat="1">
      <c r="A135" s="366"/>
      <c r="B135" s="361"/>
      <c r="C135" s="318"/>
      <c r="D135" s="318"/>
      <c r="E135" s="318"/>
      <c r="F135" s="318"/>
      <c r="G135" s="355"/>
      <c r="H135" s="369"/>
      <c r="I135" s="318"/>
      <c r="J135" s="356"/>
      <c r="K135" s="318"/>
      <c r="L135" s="318"/>
      <c r="M135" s="318"/>
      <c r="N135" s="318"/>
      <c r="O135" s="362"/>
      <c r="P135" s="318"/>
      <c r="Q135" s="370"/>
      <c r="R135" s="364"/>
      <c r="S135" s="371"/>
      <c r="T135" s="371"/>
    </row>
    <row r="136" spans="1:20" s="358" customFormat="1">
      <c r="A136" s="366"/>
      <c r="B136" s="361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72"/>
      <c r="P136" s="318"/>
      <c r="Q136" s="373"/>
      <c r="R136" s="364"/>
      <c r="S136" s="371"/>
      <c r="T136" s="371"/>
    </row>
    <row r="137" spans="1:20" s="358" customFormat="1">
      <c r="A137" s="374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73"/>
      <c r="R137" s="375"/>
      <c r="S137" s="371"/>
      <c r="T137" s="371"/>
    </row>
    <row r="138" spans="1:20" s="358" customFormat="1">
      <c r="A138" s="357"/>
      <c r="T138" s="371"/>
    </row>
    <row r="139" spans="1:20" s="358" customFormat="1">
      <c r="A139" s="357"/>
      <c r="Q139" s="359"/>
      <c r="T139" s="371"/>
    </row>
    <row r="140" spans="1:20" s="358" customFormat="1">
      <c r="A140" s="357"/>
      <c r="Q140" s="363"/>
      <c r="R140" s="364"/>
      <c r="S140" s="380"/>
      <c r="T140" s="371"/>
    </row>
    <row r="141" spans="1:20" s="358" customFormat="1">
      <c r="A141" s="357"/>
      <c r="Q141" s="367"/>
      <c r="R141" s="368"/>
      <c r="S141" s="380"/>
      <c r="T141" s="371"/>
    </row>
    <row r="142" spans="1:20" s="358" customFormat="1">
      <c r="A142" s="357"/>
      <c r="Q142" s="370"/>
      <c r="R142" s="364"/>
      <c r="S142" s="363"/>
      <c r="T142" s="371"/>
    </row>
    <row r="143" spans="1:20" s="358" customFormat="1">
      <c r="A143" s="357"/>
      <c r="Q143" s="373"/>
      <c r="R143" s="364"/>
      <c r="S143" s="363"/>
      <c r="T143" s="371"/>
    </row>
    <row r="144" spans="1:20" s="358" customFormat="1">
      <c r="A144" s="357"/>
      <c r="Q144" s="373"/>
      <c r="R144" s="375"/>
      <c r="S144" s="363"/>
      <c r="T144" s="371"/>
    </row>
    <row r="145" spans="1:20" s="358" customFormat="1">
      <c r="A145" s="357"/>
      <c r="T145" s="371"/>
    </row>
    <row r="146" spans="1:20" s="358" customFormat="1">
      <c r="A146" s="357"/>
      <c r="Q146" s="359"/>
      <c r="T146" s="371"/>
    </row>
    <row r="147" spans="1:20" s="358" customFormat="1">
      <c r="A147" s="357"/>
      <c r="Q147" s="363"/>
      <c r="R147" s="364"/>
      <c r="S147" s="365"/>
      <c r="T147" s="371"/>
    </row>
    <row r="148" spans="1:20" s="358" customFormat="1">
      <c r="A148" s="357"/>
      <c r="Q148" s="367"/>
      <c r="R148" s="368"/>
      <c r="S148" s="365"/>
      <c r="T148" s="371"/>
    </row>
    <row r="149" spans="1:20" s="358" customFormat="1">
      <c r="A149" s="357"/>
      <c r="Q149" s="370"/>
      <c r="R149" s="364"/>
      <c r="S149" s="371"/>
      <c r="T149" s="371"/>
    </row>
    <row r="150" spans="1:20" s="358" customFormat="1">
      <c r="A150" s="357"/>
      <c r="N150" s="381"/>
      <c r="Q150" s="373"/>
      <c r="R150" s="364"/>
      <c r="S150" s="371"/>
      <c r="T150" s="371"/>
    </row>
    <row r="151" spans="1:20" s="358" customFormat="1">
      <c r="A151" s="357"/>
      <c r="Q151" s="373"/>
      <c r="R151" s="375"/>
      <c r="S151" s="371"/>
      <c r="T151" s="371"/>
    </row>
    <row r="152" spans="1:20" s="358" customFormat="1">
      <c r="A152" s="357"/>
      <c r="T152" s="371"/>
    </row>
    <row r="153" spans="1:20" s="358" customFormat="1">
      <c r="A153" s="357"/>
      <c r="Q153" s="359"/>
      <c r="T153" s="371"/>
    </row>
    <row r="154" spans="1:20" s="358" customFormat="1">
      <c r="A154" s="360"/>
      <c r="B154" s="361"/>
      <c r="C154" s="318"/>
      <c r="D154" s="354"/>
      <c r="E154" s="354"/>
      <c r="F154" s="355"/>
      <c r="G154" s="355"/>
      <c r="H154" s="318"/>
      <c r="I154" s="318"/>
      <c r="J154" s="318"/>
      <c r="K154" s="318"/>
      <c r="L154" s="318"/>
      <c r="M154" s="318"/>
      <c r="N154" s="318"/>
      <c r="O154" s="362"/>
      <c r="P154" s="318"/>
      <c r="Q154" s="363"/>
      <c r="R154" s="364"/>
      <c r="S154" s="365"/>
      <c r="T154" s="371"/>
    </row>
    <row r="155" spans="1:20" s="358" customFormat="1">
      <c r="A155" s="366"/>
      <c r="B155" s="361"/>
      <c r="C155" s="318"/>
      <c r="D155" s="355"/>
      <c r="E155" s="355"/>
      <c r="F155" s="355"/>
      <c r="G155" s="356"/>
      <c r="H155" s="355"/>
      <c r="I155" s="318"/>
      <c r="J155" s="356"/>
      <c r="K155" s="356"/>
      <c r="L155" s="318"/>
      <c r="M155" s="318"/>
      <c r="N155" s="318"/>
      <c r="O155" s="362"/>
      <c r="P155" s="318"/>
      <c r="Q155" s="367"/>
      <c r="R155" s="368"/>
      <c r="S155" s="365"/>
      <c r="T155" s="371"/>
    </row>
    <row r="156" spans="1:20" s="358" customFormat="1">
      <c r="A156" s="366"/>
      <c r="B156" s="361"/>
      <c r="C156" s="318"/>
      <c r="D156" s="318"/>
      <c r="E156" s="318"/>
      <c r="F156" s="318"/>
      <c r="G156" s="355"/>
      <c r="H156" s="369"/>
      <c r="I156" s="318"/>
      <c r="J156" s="356"/>
      <c r="K156" s="318"/>
      <c r="L156" s="318"/>
      <c r="M156" s="318"/>
      <c r="N156" s="318"/>
      <c r="O156" s="362"/>
      <c r="P156" s="318"/>
      <c r="Q156" s="370"/>
      <c r="R156" s="364"/>
      <c r="S156" s="371"/>
      <c r="T156" s="371"/>
    </row>
    <row r="157" spans="1:20" s="358" customFormat="1">
      <c r="A157" s="366"/>
      <c r="B157" s="361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72"/>
      <c r="P157" s="318"/>
      <c r="Q157" s="373"/>
      <c r="R157" s="364"/>
      <c r="S157" s="371"/>
      <c r="T157" s="371"/>
    </row>
    <row r="158" spans="1:20" s="358" customFormat="1">
      <c r="A158" s="374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73"/>
      <c r="R158" s="375"/>
      <c r="S158" s="371"/>
      <c r="T158" s="371"/>
    </row>
    <row r="159" spans="1:20" s="358" customFormat="1">
      <c r="A159" s="357"/>
      <c r="T159" s="371"/>
    </row>
    <row r="160" spans="1:20" s="358" customFormat="1">
      <c r="A160" s="357"/>
      <c r="Q160" s="359"/>
      <c r="T160" s="371"/>
    </row>
    <row r="161" spans="1:20" s="358" customFormat="1">
      <c r="A161" s="360"/>
      <c r="B161" s="361"/>
      <c r="C161" s="318"/>
      <c r="D161" s="354"/>
      <c r="E161" s="354"/>
      <c r="F161" s="355"/>
      <c r="G161" s="355"/>
      <c r="H161" s="318"/>
      <c r="I161" s="318"/>
      <c r="J161" s="318"/>
      <c r="K161" s="318"/>
      <c r="L161" s="318"/>
      <c r="M161" s="318"/>
      <c r="N161" s="318"/>
      <c r="O161" s="362"/>
      <c r="P161" s="318"/>
      <c r="Q161" s="363"/>
      <c r="R161" s="364"/>
      <c r="S161" s="365"/>
      <c r="T161" s="371"/>
    </row>
    <row r="162" spans="1:20" s="358" customFormat="1">
      <c r="A162" s="366"/>
      <c r="B162" s="361"/>
      <c r="C162" s="318"/>
      <c r="D162" s="355"/>
      <c r="E162" s="355"/>
      <c r="F162" s="355"/>
      <c r="G162" s="356"/>
      <c r="H162" s="355"/>
      <c r="I162" s="318"/>
      <c r="J162" s="356"/>
      <c r="K162" s="356"/>
      <c r="L162" s="318"/>
      <c r="M162" s="318"/>
      <c r="N162" s="318"/>
      <c r="O162" s="362"/>
      <c r="P162" s="318"/>
      <c r="Q162" s="367"/>
      <c r="R162" s="368"/>
      <c r="S162" s="365"/>
      <c r="T162" s="371"/>
    </row>
    <row r="163" spans="1:20" s="358" customFormat="1">
      <c r="A163" s="366"/>
      <c r="B163" s="361"/>
      <c r="C163" s="318"/>
      <c r="D163" s="318"/>
      <c r="E163" s="318"/>
      <c r="F163" s="318"/>
      <c r="G163" s="355"/>
      <c r="H163" s="369"/>
      <c r="I163" s="318"/>
      <c r="J163" s="356"/>
      <c r="K163" s="318"/>
      <c r="L163" s="318"/>
      <c r="M163" s="318"/>
      <c r="N163" s="318"/>
      <c r="O163" s="362"/>
      <c r="P163" s="318"/>
      <c r="Q163" s="370"/>
      <c r="R163" s="364"/>
      <c r="S163" s="371"/>
      <c r="T163" s="371"/>
    </row>
    <row r="164" spans="1:20" s="358" customFormat="1">
      <c r="A164" s="366"/>
      <c r="B164" s="361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72"/>
      <c r="P164" s="318"/>
      <c r="Q164" s="373"/>
      <c r="R164" s="364"/>
      <c r="S164" s="371"/>
      <c r="T164" s="371"/>
    </row>
    <row r="165" spans="1:20" s="358" customFormat="1">
      <c r="A165" s="374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73"/>
      <c r="R165" s="375"/>
      <c r="S165" s="371"/>
      <c r="T165" s="371"/>
    </row>
    <row r="166" spans="1:20" s="358" customFormat="1">
      <c r="A166" s="357"/>
      <c r="T166" s="371"/>
    </row>
    <row r="167" spans="1:20" s="358" customFormat="1">
      <c r="A167" s="360"/>
      <c r="Q167" s="359"/>
      <c r="T167" s="371"/>
    </row>
    <row r="168" spans="1:20" s="358" customFormat="1">
      <c r="A168" s="360"/>
      <c r="B168" s="361"/>
      <c r="C168" s="318"/>
      <c r="D168" s="354"/>
      <c r="E168" s="354"/>
      <c r="F168" s="355"/>
      <c r="G168" s="355"/>
      <c r="H168" s="318"/>
      <c r="I168" s="318"/>
      <c r="J168" s="318"/>
      <c r="K168" s="318"/>
      <c r="L168" s="318"/>
      <c r="M168" s="318"/>
      <c r="N168" s="318"/>
      <c r="O168" s="362"/>
      <c r="P168" s="318"/>
      <c r="Q168" s="363"/>
      <c r="R168" s="364"/>
      <c r="S168" s="365"/>
      <c r="T168" s="371"/>
    </row>
    <row r="169" spans="1:20" s="358" customFormat="1">
      <c r="A169" s="366"/>
      <c r="B169" s="361"/>
      <c r="C169" s="318"/>
      <c r="D169" s="355"/>
      <c r="E169" s="355"/>
      <c r="F169" s="355"/>
      <c r="G169" s="356"/>
      <c r="H169" s="355"/>
      <c r="I169" s="318"/>
      <c r="J169" s="356"/>
      <c r="K169" s="356"/>
      <c r="L169" s="318"/>
      <c r="M169" s="318"/>
      <c r="N169" s="318"/>
      <c r="O169" s="362"/>
      <c r="P169" s="318"/>
      <c r="Q169" s="367"/>
      <c r="R169" s="368"/>
      <c r="S169" s="365"/>
      <c r="T169" s="371"/>
    </row>
    <row r="170" spans="1:20" s="358" customFormat="1">
      <c r="A170" s="366"/>
      <c r="B170" s="361"/>
      <c r="C170" s="318"/>
      <c r="D170" s="318"/>
      <c r="E170" s="318"/>
      <c r="F170" s="318"/>
      <c r="G170" s="355"/>
      <c r="H170" s="369"/>
      <c r="I170" s="318"/>
      <c r="J170" s="356"/>
      <c r="K170" s="318"/>
      <c r="L170" s="318"/>
      <c r="M170" s="318"/>
      <c r="N170" s="318"/>
      <c r="O170" s="362"/>
      <c r="P170" s="318"/>
      <c r="Q170" s="370"/>
      <c r="R170" s="364"/>
      <c r="S170" s="371"/>
      <c r="T170" s="371"/>
    </row>
    <row r="171" spans="1:20" s="358" customFormat="1">
      <c r="A171" s="366"/>
      <c r="B171" s="361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72"/>
      <c r="P171" s="318"/>
      <c r="Q171" s="373"/>
      <c r="R171" s="364"/>
      <c r="S171" s="371"/>
      <c r="T171" s="371"/>
    </row>
    <row r="172" spans="1:20" s="358" customFormat="1">
      <c r="A172" s="374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73"/>
      <c r="R172" s="375"/>
      <c r="S172" s="371"/>
      <c r="T172" s="371"/>
    </row>
    <row r="173" spans="1:20" s="358" customFormat="1">
      <c r="A173" s="357"/>
      <c r="T173" s="371"/>
    </row>
    <row r="174" spans="1:20" s="358" customFormat="1">
      <c r="A174" s="360"/>
      <c r="Q174" s="359"/>
      <c r="T174" s="371"/>
    </row>
    <row r="175" spans="1:20" s="358" customFormat="1">
      <c r="A175" s="360"/>
      <c r="B175" s="361"/>
      <c r="C175" s="318"/>
      <c r="D175" s="354"/>
      <c r="E175" s="354"/>
      <c r="F175" s="355"/>
      <c r="G175" s="355"/>
      <c r="H175" s="318"/>
      <c r="I175" s="318"/>
      <c r="J175" s="318"/>
      <c r="K175" s="318"/>
      <c r="L175" s="318"/>
      <c r="M175" s="318"/>
      <c r="N175" s="318"/>
      <c r="O175" s="362"/>
      <c r="P175" s="318"/>
      <c r="Q175" s="363"/>
      <c r="R175" s="364"/>
      <c r="S175" s="365"/>
      <c r="T175" s="371"/>
    </row>
    <row r="176" spans="1:20" s="358" customFormat="1">
      <c r="A176" s="366"/>
      <c r="B176" s="361"/>
      <c r="C176" s="318"/>
      <c r="D176" s="355"/>
      <c r="E176" s="355"/>
      <c r="F176" s="355"/>
      <c r="G176" s="356"/>
      <c r="H176" s="355"/>
      <c r="I176" s="318"/>
      <c r="J176" s="356"/>
      <c r="K176" s="356"/>
      <c r="L176" s="318"/>
      <c r="M176" s="318"/>
      <c r="N176" s="318"/>
      <c r="O176" s="362"/>
      <c r="P176" s="318"/>
      <c r="Q176" s="367"/>
      <c r="R176" s="368"/>
      <c r="S176" s="365"/>
      <c r="T176" s="371"/>
    </row>
    <row r="177" spans="1:20" s="358" customFormat="1">
      <c r="A177" s="366"/>
      <c r="B177" s="361"/>
      <c r="C177" s="318"/>
      <c r="D177" s="318"/>
      <c r="E177" s="318"/>
      <c r="F177" s="318"/>
      <c r="G177" s="355"/>
      <c r="H177" s="369"/>
      <c r="I177" s="318"/>
      <c r="J177" s="356"/>
      <c r="K177" s="318"/>
      <c r="L177" s="318"/>
      <c r="M177" s="318"/>
      <c r="N177" s="318"/>
      <c r="O177" s="362"/>
      <c r="P177" s="318"/>
      <c r="Q177" s="370"/>
      <c r="R177" s="364"/>
      <c r="S177" s="371"/>
      <c r="T177" s="371"/>
    </row>
    <row r="178" spans="1:20" s="358" customFormat="1">
      <c r="A178" s="366"/>
      <c r="B178" s="361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72"/>
      <c r="P178" s="318"/>
      <c r="Q178" s="373"/>
      <c r="R178" s="364"/>
      <c r="S178" s="371"/>
      <c r="T178" s="371"/>
    </row>
    <row r="179" spans="1:20" s="358" customFormat="1">
      <c r="A179" s="374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8"/>
      <c r="P179" s="318"/>
      <c r="Q179" s="373"/>
      <c r="R179" s="375"/>
      <c r="S179" s="371"/>
      <c r="T179" s="371"/>
    </row>
    <row r="180" spans="1:20" s="358" customFormat="1">
      <c r="A180" s="357"/>
      <c r="T180" s="371"/>
    </row>
    <row r="181" spans="1:20" s="358" customFormat="1">
      <c r="A181" s="357"/>
      <c r="T181" s="371"/>
    </row>
    <row r="182" spans="1:20" s="358" customFormat="1">
      <c r="A182" s="357"/>
      <c r="T182" s="371"/>
    </row>
    <row r="183" spans="1:20" s="358" customFormat="1">
      <c r="A183" s="357"/>
      <c r="T183" s="371"/>
    </row>
    <row r="184" spans="1:20" s="358" customFormat="1">
      <c r="A184" s="357"/>
      <c r="T184" s="371"/>
    </row>
    <row r="185" spans="1:20" s="358" customFormat="1">
      <c r="A185" s="357"/>
      <c r="T185" s="371"/>
    </row>
    <row r="186" spans="1:20" s="358" customFormat="1">
      <c r="A186" s="357"/>
      <c r="T186" s="371"/>
    </row>
    <row r="187" spans="1:20" s="358" customFormat="1">
      <c r="A187" s="357"/>
      <c r="T187" s="371"/>
    </row>
    <row r="188" spans="1:20" s="358" customFormat="1">
      <c r="A188" s="357"/>
      <c r="T188" s="371"/>
    </row>
    <row r="189" spans="1:20" s="358" customFormat="1">
      <c r="A189" s="357"/>
      <c r="T189" s="371"/>
    </row>
    <row r="190" spans="1:20" s="358" customFormat="1">
      <c r="A190" s="357"/>
      <c r="T190" s="371"/>
    </row>
    <row r="191" spans="1:20" s="358" customFormat="1">
      <c r="A191" s="357"/>
      <c r="T191" s="371"/>
    </row>
    <row r="192" spans="1:20" s="358" customFormat="1">
      <c r="A192" s="357"/>
      <c r="T192" s="371"/>
    </row>
    <row r="193" spans="1:20" s="358" customFormat="1">
      <c r="A193" s="357"/>
      <c r="T193" s="371"/>
    </row>
    <row r="194" spans="1:20" s="358" customFormat="1">
      <c r="A194" s="357"/>
      <c r="T194" s="371"/>
    </row>
    <row r="195" spans="1:20" s="358" customFormat="1">
      <c r="A195" s="357"/>
      <c r="T195" s="371"/>
    </row>
    <row r="196" spans="1:20" s="358" customFormat="1">
      <c r="A196" s="357"/>
      <c r="T196" s="371"/>
    </row>
    <row r="197" spans="1:20" s="358" customFormat="1">
      <c r="A197" s="357"/>
      <c r="T197" s="371"/>
    </row>
    <row r="198" spans="1:20" s="358" customFormat="1">
      <c r="A198" s="357"/>
      <c r="T198" s="371"/>
    </row>
    <row r="199" spans="1:20" s="358" customFormat="1">
      <c r="A199" s="357"/>
      <c r="T199" s="371"/>
    </row>
    <row r="200" spans="1:20" s="358" customFormat="1">
      <c r="A200" s="357"/>
      <c r="T200" s="371"/>
    </row>
    <row r="201" spans="1:20" s="358" customFormat="1">
      <c r="A201" s="357"/>
      <c r="T201" s="371"/>
    </row>
    <row r="202" spans="1:20" s="358" customFormat="1">
      <c r="A202" s="357"/>
      <c r="T202" s="371"/>
    </row>
    <row r="203" spans="1:20" s="358" customFormat="1">
      <c r="A203" s="357"/>
      <c r="T203" s="371"/>
    </row>
    <row r="204" spans="1:20" s="358" customFormat="1">
      <c r="A204" s="357"/>
      <c r="T204" s="371"/>
    </row>
    <row r="205" spans="1:20" s="358" customFormat="1">
      <c r="A205" s="357"/>
      <c r="T205" s="371"/>
    </row>
    <row r="206" spans="1:20" s="358" customFormat="1">
      <c r="A206" s="357"/>
      <c r="T206" s="371"/>
    </row>
    <row r="207" spans="1:20" s="358" customFormat="1">
      <c r="A207" s="357"/>
      <c r="T207" s="371"/>
    </row>
    <row r="208" spans="1:20" s="358" customFormat="1">
      <c r="A208" s="357"/>
      <c r="T208" s="371"/>
    </row>
    <row r="209" spans="1:20" s="358" customFormat="1">
      <c r="A209" s="357"/>
      <c r="T209" s="371"/>
    </row>
    <row r="210" spans="1:20" s="358" customFormat="1">
      <c r="A210" s="357"/>
      <c r="T210" s="371"/>
    </row>
    <row r="211" spans="1:20" s="358" customFormat="1">
      <c r="A211" s="357"/>
      <c r="T211" s="371"/>
    </row>
    <row r="212" spans="1:20" s="358" customFormat="1">
      <c r="A212" s="357"/>
      <c r="T212" s="371"/>
    </row>
    <row r="213" spans="1:20" s="358" customFormat="1">
      <c r="A213" s="357"/>
      <c r="T213" s="371"/>
    </row>
    <row r="214" spans="1:20" s="358" customFormat="1">
      <c r="A214" s="357"/>
      <c r="T214" s="371"/>
    </row>
    <row r="215" spans="1:20" s="358" customFormat="1">
      <c r="A215" s="357"/>
      <c r="T215" s="371"/>
    </row>
    <row r="216" spans="1:20" s="358" customFormat="1">
      <c r="A216" s="357"/>
      <c r="T216" s="371"/>
    </row>
    <row r="217" spans="1:20" s="358" customFormat="1">
      <c r="A217" s="357"/>
      <c r="T217" s="371"/>
    </row>
    <row r="218" spans="1:20" s="358" customFormat="1">
      <c r="A218" s="357"/>
      <c r="T218" s="371"/>
    </row>
    <row r="219" spans="1:20" s="358" customFormat="1">
      <c r="A219" s="357"/>
      <c r="T219" s="371"/>
    </row>
    <row r="220" spans="1:20" s="358" customFormat="1">
      <c r="A220" s="357"/>
      <c r="T220" s="371"/>
    </row>
    <row r="221" spans="1:20" s="358" customFormat="1">
      <c r="A221" s="357"/>
      <c r="T221" s="371"/>
    </row>
    <row r="222" spans="1:20" s="358" customFormat="1">
      <c r="A222" s="357"/>
      <c r="T222" s="371"/>
    </row>
    <row r="223" spans="1:20" s="358" customFormat="1">
      <c r="A223" s="357"/>
      <c r="T223" s="371"/>
    </row>
    <row r="224" spans="1:20" s="358" customFormat="1">
      <c r="A224" s="357"/>
      <c r="T224" s="371"/>
    </row>
    <row r="225" spans="1:20" s="358" customFormat="1">
      <c r="A225" s="357"/>
      <c r="T225" s="371"/>
    </row>
    <row r="226" spans="1:20" s="358" customFormat="1">
      <c r="A226" s="357"/>
      <c r="T226" s="371"/>
    </row>
    <row r="227" spans="1:20" s="358" customFormat="1">
      <c r="A227" s="357"/>
      <c r="T227" s="371"/>
    </row>
    <row r="228" spans="1:20" s="358" customFormat="1">
      <c r="A228" s="357"/>
      <c r="T228" s="371"/>
    </row>
    <row r="229" spans="1:20" s="358" customFormat="1">
      <c r="A229" s="357"/>
      <c r="T229" s="371"/>
    </row>
    <row r="230" spans="1:20" s="358" customFormat="1">
      <c r="A230" s="357"/>
      <c r="T230" s="371"/>
    </row>
    <row r="231" spans="1:20" s="358" customFormat="1">
      <c r="A231" s="357"/>
      <c r="T231" s="371"/>
    </row>
    <row r="232" spans="1:20" s="358" customFormat="1">
      <c r="A232" s="357"/>
      <c r="T232" s="371"/>
    </row>
    <row r="233" spans="1:20" s="358" customFormat="1">
      <c r="A233" s="357"/>
      <c r="T233" s="371"/>
    </row>
    <row r="234" spans="1:20" s="358" customFormat="1">
      <c r="A234" s="357"/>
      <c r="T234" s="371"/>
    </row>
    <row r="235" spans="1:20" s="358" customFormat="1">
      <c r="A235" s="357"/>
      <c r="T235" s="371"/>
    </row>
    <row r="236" spans="1:20" s="358" customFormat="1">
      <c r="A236" s="357"/>
      <c r="T236" s="371"/>
    </row>
    <row r="237" spans="1:20" s="358" customFormat="1">
      <c r="A237" s="357"/>
      <c r="T237" s="371"/>
    </row>
    <row r="238" spans="1:20" s="358" customFormat="1">
      <c r="A238" s="357"/>
      <c r="T238" s="371"/>
    </row>
    <row r="239" spans="1:20" s="358" customFormat="1">
      <c r="A239" s="357"/>
      <c r="T239" s="371"/>
    </row>
    <row r="240" spans="1:20" s="358" customFormat="1">
      <c r="A240" s="357"/>
      <c r="T240" s="371"/>
    </row>
    <row r="241" spans="1:20" s="358" customFormat="1">
      <c r="A241" s="357"/>
      <c r="T241" s="371"/>
    </row>
    <row r="242" spans="1:20" s="358" customFormat="1">
      <c r="A242" s="357"/>
      <c r="T242" s="371"/>
    </row>
    <row r="243" spans="1:20" s="358" customFormat="1">
      <c r="A243" s="357"/>
      <c r="T243" s="371"/>
    </row>
    <row r="244" spans="1:20" s="358" customFormat="1">
      <c r="A244" s="357"/>
      <c r="T244" s="371"/>
    </row>
    <row r="245" spans="1:20" s="358" customFormat="1">
      <c r="A245" s="357"/>
      <c r="T245" s="371"/>
    </row>
    <row r="246" spans="1:20" s="358" customFormat="1">
      <c r="A246" s="357"/>
      <c r="T246" s="371"/>
    </row>
    <row r="247" spans="1:20" s="358" customFormat="1">
      <c r="A247" s="357"/>
      <c r="T247" s="371"/>
    </row>
    <row r="248" spans="1:20" s="358" customFormat="1">
      <c r="A248" s="357"/>
      <c r="T248" s="371"/>
    </row>
    <row r="249" spans="1:20" s="358" customFormat="1">
      <c r="A249" s="357"/>
      <c r="T249" s="371"/>
    </row>
    <row r="250" spans="1:20" s="358" customFormat="1">
      <c r="A250" s="357"/>
      <c r="T250" s="371"/>
    </row>
    <row r="251" spans="1:20" s="358" customFormat="1">
      <c r="A251" s="357"/>
      <c r="T251" s="371"/>
    </row>
    <row r="252" spans="1:20" s="358" customFormat="1">
      <c r="A252" s="357"/>
      <c r="T252" s="371"/>
    </row>
    <row r="253" spans="1:20" s="358" customFormat="1">
      <c r="A253" s="357"/>
      <c r="T253" s="371"/>
    </row>
    <row r="254" spans="1:20" s="358" customFormat="1">
      <c r="A254" s="357"/>
      <c r="T254" s="371"/>
    </row>
    <row r="255" spans="1:20" s="358" customFormat="1">
      <c r="A255" s="357"/>
      <c r="T255" s="371"/>
    </row>
    <row r="256" spans="1:20" s="358" customFormat="1">
      <c r="A256" s="357"/>
      <c r="T256" s="371"/>
    </row>
    <row r="257" spans="1:20" s="358" customFormat="1">
      <c r="A257" s="357"/>
      <c r="T257" s="371"/>
    </row>
    <row r="258" spans="1:20" s="358" customFormat="1">
      <c r="A258" s="357"/>
      <c r="T258" s="371"/>
    </row>
    <row r="259" spans="1:20" s="358" customFormat="1">
      <c r="A259" s="357"/>
      <c r="T259" s="371"/>
    </row>
    <row r="260" spans="1:20" s="358" customFormat="1">
      <c r="A260" s="357"/>
      <c r="T260" s="371"/>
    </row>
    <row r="261" spans="1:20" s="358" customFormat="1">
      <c r="A261" s="357"/>
      <c r="T261" s="371"/>
    </row>
    <row r="262" spans="1:20" s="358" customFormat="1">
      <c r="A262" s="357"/>
      <c r="T262" s="371"/>
    </row>
    <row r="263" spans="1:20" s="358" customFormat="1">
      <c r="A263" s="357"/>
      <c r="T263" s="371"/>
    </row>
    <row r="264" spans="1:20" s="358" customFormat="1">
      <c r="A264" s="357"/>
      <c r="T264" s="371"/>
    </row>
    <row r="265" spans="1:20" s="358" customFormat="1">
      <c r="A265" s="357"/>
      <c r="T265" s="371"/>
    </row>
    <row r="266" spans="1:20" s="358" customFormat="1">
      <c r="A266" s="357"/>
      <c r="T266" s="371"/>
    </row>
    <row r="267" spans="1:20" s="358" customFormat="1">
      <c r="A267" s="357"/>
      <c r="T267" s="371"/>
    </row>
    <row r="268" spans="1:20" s="358" customFormat="1">
      <c r="A268" s="357"/>
      <c r="T268" s="371"/>
    </row>
    <row r="269" spans="1:20" s="358" customFormat="1">
      <c r="A269" s="357"/>
      <c r="T269" s="371"/>
    </row>
    <row r="270" spans="1:20" s="358" customFormat="1">
      <c r="A270" s="357"/>
      <c r="T270" s="371"/>
    </row>
    <row r="271" spans="1:20" s="358" customFormat="1">
      <c r="A271" s="357"/>
      <c r="T271" s="371"/>
    </row>
    <row r="272" spans="1:20" s="358" customFormat="1">
      <c r="A272" s="357"/>
      <c r="T272" s="371"/>
    </row>
    <row r="273" spans="1:20" s="358" customFormat="1">
      <c r="A273" s="357"/>
      <c r="T273" s="371"/>
    </row>
    <row r="274" spans="1:20" s="358" customFormat="1">
      <c r="A274" s="357"/>
      <c r="T274" s="371"/>
    </row>
    <row r="275" spans="1:20" s="358" customFormat="1">
      <c r="A275" s="357"/>
      <c r="T275" s="371"/>
    </row>
    <row r="276" spans="1:20" s="358" customFormat="1">
      <c r="A276" s="357"/>
      <c r="T276" s="371"/>
    </row>
    <row r="277" spans="1:20" s="358" customFormat="1">
      <c r="A277" s="357"/>
      <c r="T277" s="371"/>
    </row>
    <row r="278" spans="1:20" s="358" customFormat="1">
      <c r="A278" s="357"/>
      <c r="T278" s="371"/>
    </row>
    <row r="279" spans="1:20" s="358" customFormat="1">
      <c r="A279" s="357"/>
      <c r="T279" s="371"/>
    </row>
    <row r="280" spans="1:20" s="358" customFormat="1">
      <c r="A280" s="357"/>
      <c r="T280" s="371"/>
    </row>
    <row r="281" spans="1:20" s="358" customFormat="1">
      <c r="A281" s="357"/>
      <c r="T281" s="371"/>
    </row>
    <row r="282" spans="1:20" s="358" customFormat="1">
      <c r="A282" s="357"/>
      <c r="T282" s="371"/>
    </row>
    <row r="283" spans="1:20" s="358" customFormat="1">
      <c r="A283" s="357"/>
      <c r="T283" s="371"/>
    </row>
    <row r="284" spans="1:20" s="358" customFormat="1">
      <c r="A284" s="357"/>
      <c r="T284" s="371"/>
    </row>
    <row r="285" spans="1:20" s="358" customFormat="1">
      <c r="A285" s="357"/>
      <c r="T285" s="371"/>
    </row>
    <row r="286" spans="1:20" s="358" customFormat="1">
      <c r="A286" s="357"/>
      <c r="T286" s="371"/>
    </row>
    <row r="287" spans="1:20" s="358" customFormat="1">
      <c r="A287" s="357"/>
      <c r="T287" s="371"/>
    </row>
    <row r="288" spans="1:20" s="358" customFormat="1">
      <c r="A288" s="357"/>
      <c r="T288" s="371"/>
    </row>
    <row r="289" spans="1:20" s="358" customFormat="1">
      <c r="A289" s="357"/>
      <c r="T289" s="371"/>
    </row>
    <row r="290" spans="1:20" s="358" customFormat="1">
      <c r="A290" s="357"/>
      <c r="T290" s="371"/>
    </row>
    <row r="291" spans="1:20" s="358" customFormat="1">
      <c r="A291" s="357"/>
      <c r="T291" s="371"/>
    </row>
    <row r="292" spans="1:20" s="358" customFormat="1">
      <c r="A292" s="357"/>
      <c r="T292" s="371"/>
    </row>
    <row r="293" spans="1:20" s="358" customFormat="1">
      <c r="A293" s="357"/>
      <c r="T293" s="371"/>
    </row>
    <row r="294" spans="1:20" s="358" customFormat="1">
      <c r="A294" s="357"/>
      <c r="T294" s="371"/>
    </row>
    <row r="295" spans="1:20" s="358" customFormat="1">
      <c r="A295" s="357"/>
      <c r="T295" s="371"/>
    </row>
    <row r="296" spans="1:20" s="358" customFormat="1">
      <c r="A296" s="357"/>
      <c r="T296" s="371"/>
    </row>
    <row r="297" spans="1:20" s="358" customFormat="1">
      <c r="A297" s="357"/>
      <c r="T297" s="371"/>
    </row>
    <row r="298" spans="1:20" s="358" customFormat="1">
      <c r="A298" s="357"/>
      <c r="T298" s="371"/>
    </row>
    <row r="299" spans="1:20" s="358" customFormat="1">
      <c r="A299" s="357"/>
      <c r="T299" s="371"/>
    </row>
    <row r="300" spans="1:20">
      <c r="T300" s="371"/>
    </row>
    <row r="301" spans="1:20">
      <c r="T301" s="371"/>
    </row>
    <row r="302" spans="1:20">
      <c r="T302" s="371"/>
    </row>
    <row r="303" spans="1:20">
      <c r="T303" s="371"/>
    </row>
    <row r="304" spans="1:20">
      <c r="T304" s="371"/>
    </row>
    <row r="305" spans="20:20">
      <c r="T305" s="371"/>
    </row>
    <row r="306" spans="20:20">
      <c r="T306" s="371"/>
    </row>
    <row r="307" spans="20:20">
      <c r="T307" s="371"/>
    </row>
    <row r="308" spans="20:20">
      <c r="T308" s="371"/>
    </row>
    <row r="309" spans="20:20">
      <c r="T309" s="371"/>
    </row>
    <row r="310" spans="20:20">
      <c r="T310" s="371"/>
    </row>
    <row r="311" spans="20:20">
      <c r="T311" s="371"/>
    </row>
    <row r="312" spans="20:20">
      <c r="T312" s="371"/>
    </row>
    <row r="313" spans="20:20">
      <c r="T313" s="371"/>
    </row>
    <row r="314" spans="20:20">
      <c r="T314" s="371"/>
    </row>
    <row r="315" spans="20:20">
      <c r="T315" s="371"/>
    </row>
    <row r="316" spans="20:20">
      <c r="T316" s="371"/>
    </row>
    <row r="317" spans="20:20">
      <c r="T317" s="371"/>
    </row>
    <row r="318" spans="20:20">
      <c r="T318" s="371"/>
    </row>
    <row r="319" spans="20:20">
      <c r="T319" s="371"/>
    </row>
    <row r="320" spans="20:20">
      <c r="T320" s="371"/>
    </row>
    <row r="321" spans="20:20">
      <c r="T321" s="371"/>
    </row>
    <row r="322" spans="20:20">
      <c r="T322" s="371"/>
    </row>
    <row r="323" spans="20:20">
      <c r="T323" s="371"/>
    </row>
    <row r="324" spans="20:20">
      <c r="T324" s="371"/>
    </row>
    <row r="325" spans="20:20">
      <c r="T325" s="371"/>
    </row>
    <row r="326" spans="20:20">
      <c r="T326" s="371"/>
    </row>
    <row r="327" spans="20:20">
      <c r="T327" s="371"/>
    </row>
    <row r="328" spans="20:20">
      <c r="T328" s="371"/>
    </row>
    <row r="329" spans="20:20">
      <c r="T329" s="371"/>
    </row>
    <row r="330" spans="20:20">
      <c r="T330" s="371"/>
    </row>
    <row r="331" spans="20:20">
      <c r="T331" s="371"/>
    </row>
    <row r="332" spans="20:20">
      <c r="T332" s="371"/>
    </row>
    <row r="333" spans="20:20">
      <c r="T333" s="371"/>
    </row>
    <row r="334" spans="20:20">
      <c r="T334" s="371"/>
    </row>
    <row r="335" spans="20:20">
      <c r="T335" s="371"/>
    </row>
    <row r="336" spans="20:20">
      <c r="T336" s="371"/>
    </row>
    <row r="337" spans="20:20">
      <c r="T337" s="371"/>
    </row>
    <row r="338" spans="20:20">
      <c r="T338" s="371"/>
    </row>
    <row r="339" spans="20:20">
      <c r="T339" s="371"/>
    </row>
    <row r="340" spans="20:20">
      <c r="T340" s="371"/>
    </row>
    <row r="341" spans="20:20">
      <c r="T341" s="371"/>
    </row>
    <row r="342" spans="20:20">
      <c r="T342" s="371"/>
    </row>
    <row r="343" spans="20:20">
      <c r="T343" s="371"/>
    </row>
    <row r="344" spans="20:20">
      <c r="T344" s="371"/>
    </row>
    <row r="345" spans="20:20">
      <c r="T345" s="371"/>
    </row>
    <row r="346" spans="20:20">
      <c r="T346" s="371"/>
    </row>
    <row r="347" spans="20:20">
      <c r="T347" s="371"/>
    </row>
    <row r="348" spans="20:20">
      <c r="T348" s="371"/>
    </row>
    <row r="349" spans="20:20">
      <c r="T349" s="371"/>
    </row>
    <row r="350" spans="20:20">
      <c r="T350" s="371"/>
    </row>
    <row r="351" spans="20:20">
      <c r="T351" s="371"/>
    </row>
    <row r="352" spans="20:20">
      <c r="T352" s="371"/>
    </row>
    <row r="353" spans="20:20">
      <c r="T353" s="371"/>
    </row>
    <row r="354" spans="20:20">
      <c r="T354" s="371"/>
    </row>
    <row r="355" spans="20:20">
      <c r="T355" s="371"/>
    </row>
    <row r="356" spans="20:20">
      <c r="T356" s="371"/>
    </row>
    <row r="357" spans="20:20">
      <c r="T357" s="371"/>
    </row>
    <row r="358" spans="20:20">
      <c r="T358" s="371"/>
    </row>
    <row r="359" spans="20:20">
      <c r="T359" s="371"/>
    </row>
    <row r="360" spans="20:20">
      <c r="T360" s="371"/>
    </row>
    <row r="361" spans="20:20">
      <c r="T361" s="371"/>
    </row>
    <row r="362" spans="20:20">
      <c r="T362" s="371"/>
    </row>
    <row r="363" spans="20:20">
      <c r="T363" s="371"/>
    </row>
    <row r="364" spans="20:20">
      <c r="T364" s="371"/>
    </row>
    <row r="365" spans="20:20">
      <c r="T365" s="371"/>
    </row>
    <row r="366" spans="20:20">
      <c r="T366" s="371"/>
    </row>
    <row r="367" spans="20:20">
      <c r="T367" s="371"/>
    </row>
    <row r="368" spans="20:20">
      <c r="T368" s="371"/>
    </row>
    <row r="369" spans="20:20">
      <c r="T369" s="371"/>
    </row>
    <row r="370" spans="20:20">
      <c r="T370" s="371"/>
    </row>
    <row r="371" spans="20:20">
      <c r="T371" s="371"/>
    </row>
    <row r="372" spans="20:20">
      <c r="T372" s="371"/>
    </row>
    <row r="373" spans="20:20">
      <c r="T373" s="371"/>
    </row>
    <row r="374" spans="20:20">
      <c r="T374" s="371"/>
    </row>
    <row r="375" spans="20:20">
      <c r="T375" s="371"/>
    </row>
    <row r="376" spans="20:20">
      <c r="T376" s="371"/>
    </row>
    <row r="377" spans="20:20">
      <c r="T377" s="371"/>
    </row>
    <row r="378" spans="20:20">
      <c r="T378" s="371"/>
    </row>
    <row r="379" spans="20:20">
      <c r="T379" s="371"/>
    </row>
    <row r="380" spans="20:20">
      <c r="T380" s="371"/>
    </row>
    <row r="381" spans="20:20">
      <c r="T381" s="371"/>
    </row>
    <row r="382" spans="20:20">
      <c r="T382" s="371"/>
    </row>
    <row r="383" spans="20:20">
      <c r="T383" s="371"/>
    </row>
    <row r="384" spans="20:20">
      <c r="T384" s="371"/>
    </row>
    <row r="385" spans="20:20">
      <c r="T385" s="371"/>
    </row>
    <row r="386" spans="20:20">
      <c r="T386" s="371"/>
    </row>
    <row r="387" spans="20:20">
      <c r="T387" s="371"/>
    </row>
    <row r="388" spans="20:20">
      <c r="T388" s="371"/>
    </row>
    <row r="389" spans="20:20">
      <c r="T389" s="371"/>
    </row>
    <row r="390" spans="20:20">
      <c r="T390" s="371"/>
    </row>
    <row r="391" spans="20:20">
      <c r="T391" s="371"/>
    </row>
    <row r="392" spans="20:20">
      <c r="T392" s="371"/>
    </row>
    <row r="393" spans="20:20">
      <c r="T393" s="371"/>
    </row>
    <row r="394" spans="20:20">
      <c r="T394" s="371"/>
    </row>
    <row r="395" spans="20:20">
      <c r="T395" s="371"/>
    </row>
    <row r="396" spans="20:20">
      <c r="T396" s="371"/>
    </row>
    <row r="397" spans="20:20">
      <c r="T397" s="371"/>
    </row>
    <row r="398" spans="20:20">
      <c r="T398" s="371"/>
    </row>
    <row r="399" spans="20:20">
      <c r="T399" s="371"/>
    </row>
    <row r="400" spans="20:20">
      <c r="T400" s="371"/>
    </row>
    <row r="401" spans="20:20">
      <c r="T401" s="371"/>
    </row>
    <row r="402" spans="20:20">
      <c r="T402" s="371"/>
    </row>
    <row r="403" spans="20:20">
      <c r="T403" s="371"/>
    </row>
    <row r="404" spans="20:20">
      <c r="T404" s="371"/>
    </row>
    <row r="405" spans="20:20">
      <c r="T405" s="371"/>
    </row>
    <row r="406" spans="20:20">
      <c r="T406" s="371"/>
    </row>
    <row r="407" spans="20:20">
      <c r="T407" s="371"/>
    </row>
    <row r="408" spans="20:20">
      <c r="T408" s="371"/>
    </row>
    <row r="409" spans="20:20">
      <c r="T409" s="371"/>
    </row>
    <row r="410" spans="20:20">
      <c r="T410" s="371"/>
    </row>
    <row r="411" spans="20:20">
      <c r="T411" s="371"/>
    </row>
    <row r="412" spans="20:20">
      <c r="T412" s="371"/>
    </row>
    <row r="413" spans="20:20">
      <c r="T413" s="371"/>
    </row>
    <row r="414" spans="20:20">
      <c r="T414" s="371"/>
    </row>
    <row r="415" spans="20:20">
      <c r="T415" s="371"/>
    </row>
    <row r="416" spans="20:20">
      <c r="T416" s="371"/>
    </row>
    <row r="417" spans="20:20">
      <c r="T417" s="371"/>
    </row>
    <row r="418" spans="20:20">
      <c r="T418" s="371"/>
    </row>
    <row r="419" spans="20:20">
      <c r="T419" s="371"/>
    </row>
    <row r="420" spans="20:20">
      <c r="T420" s="371"/>
    </row>
    <row r="421" spans="20:20">
      <c r="T421" s="371"/>
    </row>
    <row r="422" spans="20:20">
      <c r="T422" s="371"/>
    </row>
    <row r="423" spans="20:20">
      <c r="T423" s="371"/>
    </row>
    <row r="424" spans="20:20">
      <c r="T424" s="371"/>
    </row>
    <row r="425" spans="20:20">
      <c r="T425" s="371"/>
    </row>
    <row r="426" spans="20:20">
      <c r="T426" s="371"/>
    </row>
    <row r="427" spans="20:20">
      <c r="T427" s="371"/>
    </row>
    <row r="428" spans="20:20">
      <c r="T428" s="371"/>
    </row>
    <row r="429" spans="20:20">
      <c r="T429" s="371"/>
    </row>
    <row r="430" spans="20:20">
      <c r="T430" s="371"/>
    </row>
    <row r="431" spans="20:20">
      <c r="T431" s="371"/>
    </row>
    <row r="432" spans="20:20">
      <c r="T432" s="371"/>
    </row>
    <row r="433" spans="20:20">
      <c r="T433" s="371"/>
    </row>
    <row r="434" spans="20:20">
      <c r="T434" s="371"/>
    </row>
    <row r="435" spans="20:20">
      <c r="T435" s="371"/>
    </row>
    <row r="436" spans="20:20">
      <c r="T436" s="371"/>
    </row>
    <row r="437" spans="20:20">
      <c r="T437" s="371"/>
    </row>
    <row r="438" spans="20:20">
      <c r="T438" s="371"/>
    </row>
    <row r="439" spans="20:20">
      <c r="T439" s="371"/>
    </row>
    <row r="440" spans="20:20">
      <c r="T440" s="371"/>
    </row>
    <row r="441" spans="20:20">
      <c r="T441" s="371"/>
    </row>
    <row r="442" spans="20:20">
      <c r="T442" s="371"/>
    </row>
    <row r="443" spans="20:20">
      <c r="T443" s="371"/>
    </row>
    <row r="444" spans="20:20">
      <c r="T444" s="371"/>
    </row>
    <row r="445" spans="20:20">
      <c r="T445" s="371"/>
    </row>
    <row r="446" spans="20:20">
      <c r="T446" s="371"/>
    </row>
    <row r="447" spans="20:20">
      <c r="T447" s="371"/>
    </row>
    <row r="448" spans="20:20">
      <c r="T448" s="371"/>
    </row>
    <row r="449" spans="20:20">
      <c r="T449" s="371"/>
    </row>
    <row r="1145" spans="3:3">
      <c r="C1145" s="333">
        <v>-2130</v>
      </c>
    </row>
    <row r="1153" spans="3:3">
      <c r="C1153" s="333">
        <f>7004298-2130</f>
        <v>7002168</v>
      </c>
    </row>
  </sheetData>
  <conditionalFormatting sqref="T17 T24 T31 T38 T46 T54 T62 T70 T78 T86 T102 T94">
    <cfRule type="cellIs" dxfId="106" priority="107" stopIfTrue="1" operator="equal">
      <formula>0</formula>
    </cfRule>
    <cfRule type="cellIs" dxfId="105" priority="108" stopIfTrue="1" operator="notEqual">
      <formula>0</formula>
    </cfRule>
  </conditionalFormatting>
  <conditionalFormatting sqref="T17 T24 T31 T38 T46 T54 T62 T70 T78 T86 T102 T94">
    <cfRule type="cellIs" dxfId="104" priority="106" stopIfTrue="1" operator="equal">
      <formula>0</formula>
    </cfRule>
  </conditionalFormatting>
  <printOptions gridLinesSet="0"/>
  <pageMargins left="0.18" right="0" top="0.5" bottom="0.5" header="0.5" footer="0.25"/>
  <pageSetup scale="53" orientation="landscape" horizontalDpi="300" verticalDpi="300" r:id="rId1"/>
  <headerFooter alignWithMargins="0">
    <oddFooter>&amp;L&amp;F&amp;C&amp;A&amp;R&amp;D 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  <pageSetUpPr fitToPage="1"/>
  </sheetPr>
  <dimension ref="A1:J196"/>
  <sheetViews>
    <sheetView view="pageBreakPreview" topLeftCell="A159" zoomScale="85" zoomScaleNormal="100" zoomScaleSheetLayoutView="85" workbookViewId="0">
      <selection activeCell="G51" sqref="G51:J55"/>
    </sheetView>
  </sheetViews>
  <sheetFormatPr defaultColWidth="9.09765625" defaultRowHeight="14.5"/>
  <cols>
    <col min="1" max="1" width="29.8984375" style="277" customWidth="1"/>
    <col min="2" max="2" width="6.8984375" style="277" bestFit="1" customWidth="1"/>
    <col min="3" max="3" width="15.8984375" style="277" bestFit="1" customWidth="1"/>
    <col min="4" max="4" width="14.8984375" style="277" bestFit="1" customWidth="1"/>
    <col min="5" max="5" width="16.09765625" style="277" bestFit="1" customWidth="1"/>
    <col min="6" max="6" width="9.09765625" style="277"/>
    <col min="7" max="7" width="36.296875" style="277" bestFit="1" customWidth="1"/>
    <col min="8" max="8" width="17.59765625" style="277" bestFit="1" customWidth="1"/>
    <col min="9" max="10" width="15.09765625" style="277" bestFit="1" customWidth="1"/>
    <col min="11" max="16384" width="9.09765625" style="277"/>
  </cols>
  <sheetData>
    <row r="1" spans="1:10" ht="15.5">
      <c r="A1" s="276" t="s">
        <v>202</v>
      </c>
    </row>
    <row r="2" spans="1:10" ht="15.5">
      <c r="A2" s="449"/>
    </row>
    <row r="3" spans="1:10" ht="15.5">
      <c r="A3" s="276"/>
    </row>
    <row r="4" spans="1:10" ht="15.5" hidden="1">
      <c r="A4" s="292"/>
      <c r="B4" s="292"/>
      <c r="C4" s="286" t="s">
        <v>1</v>
      </c>
      <c r="D4" s="310">
        <v>41274</v>
      </c>
      <c r="E4" s="311">
        <v>280640.39010999998</v>
      </c>
    </row>
    <row r="5" spans="1:10" ht="15" hidden="1" thickBot="1"/>
    <row r="6" spans="1:10" ht="15.5" hidden="1">
      <c r="A6" s="718" t="s">
        <v>197</v>
      </c>
      <c r="B6" s="719"/>
      <c r="C6" s="719"/>
      <c r="D6" s="719"/>
      <c r="E6" s="720"/>
      <c r="G6" s="292"/>
      <c r="H6" s="292"/>
      <c r="I6" s="292"/>
    </row>
    <row r="7" spans="1:10" ht="15.5" hidden="1">
      <c r="A7" s="220">
        <v>41305</v>
      </c>
      <c r="B7" s="278"/>
      <c r="C7" s="279" t="s">
        <v>101</v>
      </c>
      <c r="D7" s="280"/>
      <c r="E7" s="281"/>
    </row>
    <row r="8" spans="1:10" ht="16" hidden="1" thickBot="1">
      <c r="A8" s="282"/>
      <c r="B8" s="283"/>
      <c r="C8" s="284" t="s">
        <v>21</v>
      </c>
      <c r="D8" s="284" t="s">
        <v>22</v>
      </c>
      <c r="E8" s="285" t="s">
        <v>23</v>
      </c>
    </row>
    <row r="9" spans="1:10" ht="15.5" hidden="1">
      <c r="A9" s="286" t="s">
        <v>24</v>
      </c>
      <c r="B9" s="287">
        <v>101</v>
      </c>
      <c r="C9" s="288">
        <v>22136409</v>
      </c>
      <c r="D9" s="289">
        <v>-2.1900000000000001E-3</v>
      </c>
      <c r="E9" s="290">
        <f>C9*D9</f>
        <v>-48478.735710000001</v>
      </c>
    </row>
    <row r="10" spans="1:10" ht="16" hidden="1" thickBot="1">
      <c r="A10" s="286" t="s">
        <v>24</v>
      </c>
      <c r="B10" s="287">
        <v>111</v>
      </c>
      <c r="C10" s="288">
        <v>7525225</v>
      </c>
      <c r="D10" s="289">
        <v>-2.1900000000000001E-3</v>
      </c>
      <c r="E10" s="290">
        <f t="shared" ref="E10:E16" si="0">C10*D10</f>
        <v>-16480.242750000001</v>
      </c>
      <c r="G10" s="291">
        <f>A7</f>
        <v>41305</v>
      </c>
      <c r="H10" s="292"/>
      <c r="I10" s="292"/>
      <c r="J10" s="292"/>
    </row>
    <row r="11" spans="1:10" ht="16" hidden="1" thickBot="1">
      <c r="A11" s="286" t="s">
        <v>24</v>
      </c>
      <c r="B11" s="287">
        <v>112</v>
      </c>
      <c r="C11" s="288">
        <v>0</v>
      </c>
      <c r="D11" s="289">
        <v>-2.1900000000000001E-3</v>
      </c>
      <c r="E11" s="290">
        <f t="shared" si="0"/>
        <v>0</v>
      </c>
      <c r="G11" s="293" t="s">
        <v>25</v>
      </c>
      <c r="H11" s="294"/>
      <c r="I11" s="295" t="s">
        <v>18</v>
      </c>
      <c r="J11" s="295" t="s">
        <v>19</v>
      </c>
    </row>
    <row r="12" spans="1:10" ht="15.5" hidden="1">
      <c r="A12" s="286" t="s">
        <v>24</v>
      </c>
      <c r="B12" s="287">
        <v>121</v>
      </c>
      <c r="C12" s="288">
        <v>606431</v>
      </c>
      <c r="D12" s="289">
        <v>-2.1900000000000001E-3</v>
      </c>
      <c r="E12" s="290">
        <f t="shared" si="0"/>
        <v>-1328.0838900000001</v>
      </c>
      <c r="G12" s="296" t="s">
        <v>97</v>
      </c>
      <c r="H12" s="297" t="s">
        <v>26</v>
      </c>
      <c r="I12" s="298">
        <f>-E17</f>
        <v>67542.528509999989</v>
      </c>
      <c r="J12" s="299">
        <v>0</v>
      </c>
    </row>
    <row r="13" spans="1:10" ht="16" hidden="1" thickBot="1">
      <c r="A13" s="286" t="s">
        <v>24</v>
      </c>
      <c r="B13" s="287">
        <v>122</v>
      </c>
      <c r="C13" s="288">
        <v>85748</v>
      </c>
      <c r="D13" s="289">
        <v>-2.1900000000000001E-3</v>
      </c>
      <c r="E13" s="290">
        <f t="shared" si="0"/>
        <v>-187.78812000000002</v>
      </c>
      <c r="G13" s="300" t="s">
        <v>198</v>
      </c>
      <c r="H13" s="301" t="s">
        <v>199</v>
      </c>
      <c r="I13" s="302">
        <v>0</v>
      </c>
      <c r="J13" s="303">
        <f>-I12</f>
        <v>-67542.528509999989</v>
      </c>
    </row>
    <row r="14" spans="1:10" ht="15.5" hidden="1">
      <c r="A14" s="286" t="s">
        <v>24</v>
      </c>
      <c r="B14" s="287">
        <v>131</v>
      </c>
      <c r="C14" s="288">
        <v>0</v>
      </c>
      <c r="D14" s="289">
        <v>-2.1900000000000001E-3</v>
      </c>
      <c r="E14" s="290">
        <f t="shared" si="0"/>
        <v>0</v>
      </c>
      <c r="G14" s="292"/>
      <c r="H14" s="292"/>
      <c r="I14" s="292"/>
      <c r="J14" s="304">
        <f>SUM(I12:J13)</f>
        <v>0</v>
      </c>
    </row>
    <row r="15" spans="1:10" ht="15.5" hidden="1">
      <c r="A15" s="286" t="s">
        <v>24</v>
      </c>
      <c r="B15" s="287">
        <v>132</v>
      </c>
      <c r="C15" s="288">
        <v>151236</v>
      </c>
      <c r="D15" s="289">
        <v>-2.1900000000000001E-3</v>
      </c>
      <c r="E15" s="290">
        <f t="shared" si="0"/>
        <v>-331.20684</v>
      </c>
    </row>
    <row r="16" spans="1:10" ht="15.5" hidden="1">
      <c r="A16" s="286" t="s">
        <v>24</v>
      </c>
      <c r="B16" s="287">
        <v>146</v>
      </c>
      <c r="C16" s="288">
        <v>3682356</v>
      </c>
      <c r="D16" s="289">
        <v>-2.0000000000000001E-4</v>
      </c>
      <c r="E16" s="305">
        <f t="shared" si="0"/>
        <v>-736.47120000000007</v>
      </c>
    </row>
    <row r="17" spans="1:10" ht="16" hidden="1" thickBot="1">
      <c r="A17" s="286" t="s">
        <v>200</v>
      </c>
      <c r="B17" s="287"/>
      <c r="C17" s="306">
        <f>SUM(C9:C16)</f>
        <v>34187405</v>
      </c>
      <c r="D17" s="307"/>
      <c r="E17" s="308">
        <f>SUM(E9:E16)</f>
        <v>-67542.528509999989</v>
      </c>
    </row>
    <row r="18" spans="1:10" ht="16" hidden="1" thickTop="1">
      <c r="A18" s="286"/>
      <c r="B18" s="287"/>
      <c r="C18" s="312">
        <v>34187405</v>
      </c>
      <c r="D18" s="307"/>
      <c r="E18" s="308"/>
    </row>
    <row r="19" spans="1:10" ht="15.5" hidden="1">
      <c r="A19" s="286"/>
      <c r="B19" s="287"/>
      <c r="C19" s="309">
        <f>C18-C17</f>
        <v>0</v>
      </c>
      <c r="D19" s="307"/>
      <c r="E19" s="308"/>
    </row>
    <row r="20" spans="1:10" ht="15.5" hidden="1">
      <c r="A20" s="292"/>
      <c r="B20" s="292"/>
      <c r="C20" s="286" t="s">
        <v>1</v>
      </c>
      <c r="D20" s="310">
        <f>A7</f>
        <v>41305</v>
      </c>
      <c r="E20" s="311">
        <f>E4+E17</f>
        <v>213097.8616</v>
      </c>
    </row>
    <row r="21" spans="1:10" ht="15" hidden="1" thickBot="1"/>
    <row r="22" spans="1:10" ht="15.5" hidden="1">
      <c r="A22" s="718" t="s">
        <v>197</v>
      </c>
      <c r="B22" s="719"/>
      <c r="C22" s="719"/>
      <c r="D22" s="719"/>
      <c r="E22" s="720"/>
      <c r="G22" s="292"/>
      <c r="H22" s="292"/>
      <c r="I22" s="292"/>
    </row>
    <row r="23" spans="1:10" ht="15.5" hidden="1">
      <c r="A23" s="220">
        <v>41333</v>
      </c>
      <c r="B23" s="278"/>
      <c r="C23" s="279" t="s">
        <v>101</v>
      </c>
      <c r="D23" s="280"/>
      <c r="E23" s="281"/>
    </row>
    <row r="24" spans="1:10" ht="16" hidden="1" thickBot="1">
      <c r="A24" s="282"/>
      <c r="B24" s="283"/>
      <c r="C24" s="284" t="s">
        <v>21</v>
      </c>
      <c r="D24" s="284" t="s">
        <v>22</v>
      </c>
      <c r="E24" s="285" t="s">
        <v>23</v>
      </c>
    </row>
    <row r="25" spans="1:10" ht="15.5" hidden="1">
      <c r="A25" s="286" t="s">
        <v>24</v>
      </c>
      <c r="B25" s="287">
        <v>101</v>
      </c>
      <c r="C25" s="288">
        <v>16585315</v>
      </c>
      <c r="D25" s="289">
        <v>-2.1900000000000001E-3</v>
      </c>
      <c r="E25" s="290">
        <v>-36321.839850000004</v>
      </c>
    </row>
    <row r="26" spans="1:10" ht="16" hidden="1" thickBot="1">
      <c r="A26" s="286" t="s">
        <v>24</v>
      </c>
      <c r="B26" s="287">
        <v>111</v>
      </c>
      <c r="C26" s="288">
        <v>5716465</v>
      </c>
      <c r="D26" s="289">
        <v>-2.1900000000000001E-3</v>
      </c>
      <c r="E26" s="290">
        <v>-12519.058350000001</v>
      </c>
      <c r="G26" s="291">
        <f>A23</f>
        <v>41333</v>
      </c>
      <c r="H26" s="292"/>
      <c r="I26" s="292"/>
      <c r="J26" s="292"/>
    </row>
    <row r="27" spans="1:10" ht="16" hidden="1" thickBot="1">
      <c r="A27" s="286" t="s">
        <v>24</v>
      </c>
      <c r="B27" s="287">
        <v>112</v>
      </c>
      <c r="C27" s="288">
        <v>0</v>
      </c>
      <c r="D27" s="289">
        <v>-2.1900000000000001E-3</v>
      </c>
      <c r="E27" s="290">
        <v>0</v>
      </c>
      <c r="G27" s="293" t="s">
        <v>25</v>
      </c>
      <c r="H27" s="294"/>
      <c r="I27" s="295" t="s">
        <v>18</v>
      </c>
      <c r="J27" s="295" t="s">
        <v>19</v>
      </c>
    </row>
    <row r="28" spans="1:10" ht="15.5" hidden="1">
      <c r="A28" s="286" t="s">
        <v>24</v>
      </c>
      <c r="B28" s="287">
        <v>121</v>
      </c>
      <c r="C28" s="288">
        <v>416479</v>
      </c>
      <c r="D28" s="289">
        <v>-2.1900000000000001E-3</v>
      </c>
      <c r="E28" s="290">
        <v>-912.08901000000003</v>
      </c>
      <c r="G28" s="296" t="s">
        <v>97</v>
      </c>
      <c r="H28" s="297" t="s">
        <v>26</v>
      </c>
      <c r="I28" s="298">
        <f>-E33</f>
        <v>50910.051820000008</v>
      </c>
      <c r="J28" s="299">
        <v>0</v>
      </c>
    </row>
    <row r="29" spans="1:10" ht="16" hidden="1" thickBot="1">
      <c r="A29" s="286" t="s">
        <v>24</v>
      </c>
      <c r="B29" s="287">
        <v>122</v>
      </c>
      <c r="C29" s="288">
        <v>94568</v>
      </c>
      <c r="D29" s="289">
        <v>-2.1900000000000001E-3</v>
      </c>
      <c r="E29" s="290">
        <v>-207.10392000000002</v>
      </c>
      <c r="G29" s="300" t="s">
        <v>198</v>
      </c>
      <c r="H29" s="301" t="s">
        <v>199</v>
      </c>
      <c r="I29" s="302">
        <v>0</v>
      </c>
      <c r="J29" s="303">
        <f>-I28</f>
        <v>-50910.051820000008</v>
      </c>
    </row>
    <row r="30" spans="1:10" ht="15.5" hidden="1">
      <c r="A30" s="286" t="s">
        <v>24</v>
      </c>
      <c r="B30" s="287">
        <v>131</v>
      </c>
      <c r="C30" s="288">
        <v>0</v>
      </c>
      <c r="D30" s="289">
        <v>-2.1900000000000001E-3</v>
      </c>
      <c r="E30" s="290">
        <v>0</v>
      </c>
      <c r="G30" s="292"/>
      <c r="H30" s="292"/>
      <c r="I30" s="292"/>
      <c r="J30" s="304">
        <f>SUM(I28:J29)</f>
        <v>0</v>
      </c>
    </row>
    <row r="31" spans="1:10" ht="15.5" hidden="1">
      <c r="A31" s="286" t="s">
        <v>24</v>
      </c>
      <c r="B31" s="287">
        <v>132</v>
      </c>
      <c r="C31" s="288">
        <v>172051</v>
      </c>
      <c r="D31" s="289">
        <v>-2.1900000000000001E-3</v>
      </c>
      <c r="E31" s="290">
        <v>-376.79169000000002</v>
      </c>
    </row>
    <row r="32" spans="1:10" ht="15.5" hidden="1">
      <c r="A32" s="286" t="s">
        <v>24</v>
      </c>
      <c r="B32" s="287">
        <v>146</v>
      </c>
      <c r="C32" s="288">
        <v>2865845</v>
      </c>
      <c r="D32" s="289">
        <v>-2.0000000000000001E-4</v>
      </c>
      <c r="E32" s="305">
        <v>-573.16899999999998</v>
      </c>
    </row>
    <row r="33" spans="1:10" ht="16" hidden="1" thickBot="1">
      <c r="A33" s="286" t="s">
        <v>200</v>
      </c>
      <c r="B33" s="287"/>
      <c r="C33" s="306">
        <f>SUM(C25:C32)</f>
        <v>25850723</v>
      </c>
      <c r="D33" s="307"/>
      <c r="E33" s="308">
        <f>SUM(E25:E32)</f>
        <v>-50910.051820000008</v>
      </c>
    </row>
    <row r="34" spans="1:10" ht="16" hidden="1" thickTop="1">
      <c r="A34" s="286"/>
      <c r="B34" s="287"/>
      <c r="C34" s="312">
        <v>25850723</v>
      </c>
      <c r="D34" s="307"/>
      <c r="E34" s="308"/>
    </row>
    <row r="35" spans="1:10" ht="15.5" hidden="1">
      <c r="A35" s="286"/>
      <c r="B35" s="287"/>
      <c r="C35" s="309">
        <f>C34-C33</f>
        <v>0</v>
      </c>
      <c r="D35" s="307"/>
      <c r="E35" s="308"/>
    </row>
    <row r="36" spans="1:10" ht="15.5" hidden="1">
      <c r="A36" s="292"/>
      <c r="B36" s="292"/>
      <c r="C36" s="286" t="s">
        <v>1</v>
      </c>
      <c r="D36" s="310">
        <f>A23</f>
        <v>41333</v>
      </c>
      <c r="E36" s="311">
        <f>E20+E33</f>
        <v>162187.80978000001</v>
      </c>
    </row>
    <row r="37" spans="1:10" ht="15" hidden="1" thickBot="1"/>
    <row r="38" spans="1:10" ht="15.5" hidden="1">
      <c r="A38" s="718" t="s">
        <v>197</v>
      </c>
      <c r="B38" s="719"/>
      <c r="C38" s="719"/>
      <c r="D38" s="719"/>
      <c r="E38" s="720"/>
      <c r="G38" s="292"/>
      <c r="H38" s="292"/>
      <c r="I38" s="292"/>
    </row>
    <row r="39" spans="1:10" ht="15.5" hidden="1">
      <c r="A39" s="220">
        <v>41364</v>
      </c>
      <c r="B39" s="278"/>
      <c r="C39" s="279" t="s">
        <v>101</v>
      </c>
      <c r="D39" s="280"/>
      <c r="E39" s="281"/>
    </row>
    <row r="40" spans="1:10" ht="16" hidden="1" thickBot="1">
      <c r="A40" s="282"/>
      <c r="B40" s="283"/>
      <c r="C40" s="284" t="s">
        <v>21</v>
      </c>
      <c r="D40" s="284" t="s">
        <v>22</v>
      </c>
      <c r="E40" s="285" t="s">
        <v>23</v>
      </c>
    </row>
    <row r="41" spans="1:10" ht="15.5" hidden="1">
      <c r="A41" s="286" t="s">
        <v>24</v>
      </c>
      <c r="B41" s="287">
        <v>101</v>
      </c>
      <c r="C41" s="288">
        <v>12776328</v>
      </c>
      <c r="D41" s="289">
        <v>-2.1900000000000001E-3</v>
      </c>
      <c r="E41" s="290">
        <v>-27980.158320000002</v>
      </c>
    </row>
    <row r="42" spans="1:10" ht="16" hidden="1" thickBot="1">
      <c r="A42" s="286" t="s">
        <v>24</v>
      </c>
      <c r="B42" s="287">
        <v>111</v>
      </c>
      <c r="C42" s="288">
        <v>4890087</v>
      </c>
      <c r="D42" s="289">
        <v>-2.1900000000000001E-3</v>
      </c>
      <c r="E42" s="290">
        <v>-10709.29053</v>
      </c>
      <c r="G42" s="291">
        <f>A39</f>
        <v>41364</v>
      </c>
      <c r="H42" s="292"/>
      <c r="I42" s="292"/>
      <c r="J42" s="292"/>
    </row>
    <row r="43" spans="1:10" ht="16" hidden="1" thickBot="1">
      <c r="A43" s="286" t="s">
        <v>24</v>
      </c>
      <c r="B43" s="287">
        <v>112</v>
      </c>
      <c r="C43" s="288">
        <v>0</v>
      </c>
      <c r="D43" s="289">
        <v>-2.1900000000000001E-3</v>
      </c>
      <c r="E43" s="290">
        <v>0</v>
      </c>
      <c r="G43" s="293" t="s">
        <v>25</v>
      </c>
      <c r="H43" s="294"/>
      <c r="I43" s="295" t="s">
        <v>18</v>
      </c>
      <c r="J43" s="295" t="s">
        <v>19</v>
      </c>
    </row>
    <row r="44" spans="1:10" ht="15.5" hidden="1">
      <c r="A44" s="286" t="s">
        <v>24</v>
      </c>
      <c r="B44" s="287">
        <v>121</v>
      </c>
      <c r="C44" s="288">
        <v>526218</v>
      </c>
      <c r="D44" s="289">
        <v>-2.1900000000000001E-3</v>
      </c>
      <c r="E44" s="290">
        <v>-1152.41742</v>
      </c>
      <c r="G44" s="296" t="s">
        <v>97</v>
      </c>
      <c r="H44" s="297" t="s">
        <v>26</v>
      </c>
      <c r="I44" s="298">
        <f>-E49</f>
        <v>40849.65926</v>
      </c>
      <c r="J44" s="299">
        <v>0</v>
      </c>
    </row>
    <row r="45" spans="1:10" ht="16" hidden="1" thickBot="1">
      <c r="A45" s="286" t="s">
        <v>24</v>
      </c>
      <c r="B45" s="287">
        <v>122</v>
      </c>
      <c r="C45" s="288">
        <v>71767</v>
      </c>
      <c r="D45" s="289">
        <v>-2.1900000000000001E-3</v>
      </c>
      <c r="E45" s="290">
        <v>-157.16973000000002</v>
      </c>
      <c r="G45" s="300" t="s">
        <v>198</v>
      </c>
      <c r="H45" s="301" t="s">
        <v>199</v>
      </c>
      <c r="I45" s="302">
        <v>0</v>
      </c>
      <c r="J45" s="303">
        <f>-I44</f>
        <v>-40849.65926</v>
      </c>
    </row>
    <row r="46" spans="1:10" ht="15.5" hidden="1">
      <c r="A46" s="286" t="s">
        <v>24</v>
      </c>
      <c r="B46" s="287">
        <v>131</v>
      </c>
      <c r="C46" s="288">
        <v>0</v>
      </c>
      <c r="D46" s="289">
        <v>-2.1900000000000001E-3</v>
      </c>
      <c r="E46" s="290">
        <v>0</v>
      </c>
      <c r="G46" s="292"/>
      <c r="H46" s="292"/>
      <c r="I46" s="292"/>
      <c r="J46" s="304">
        <f>SUM(I44:J45)</f>
        <v>0</v>
      </c>
    </row>
    <row r="47" spans="1:10" ht="15.5" hidden="1">
      <c r="A47" s="286" t="s">
        <v>24</v>
      </c>
      <c r="B47" s="287">
        <v>132</v>
      </c>
      <c r="C47" s="288">
        <v>135254</v>
      </c>
      <c r="D47" s="289">
        <v>-2.1900000000000001E-3</v>
      </c>
      <c r="E47" s="290">
        <v>-296.20625999999999</v>
      </c>
    </row>
    <row r="48" spans="1:10" ht="15.5" hidden="1">
      <c r="A48" s="286" t="s">
        <v>24</v>
      </c>
      <c r="B48" s="287">
        <v>146</v>
      </c>
      <c r="C48" s="288">
        <v>2772085</v>
      </c>
      <c r="D48" s="289">
        <v>-2.0000000000000001E-4</v>
      </c>
      <c r="E48" s="305">
        <v>-554.41700000000003</v>
      </c>
    </row>
    <row r="49" spans="1:10" ht="16" hidden="1" thickBot="1">
      <c r="A49" s="286" t="s">
        <v>200</v>
      </c>
      <c r="B49" s="287"/>
      <c r="C49" s="306">
        <f>SUM(C41:C48)</f>
        <v>21171739</v>
      </c>
      <c r="D49" s="307"/>
      <c r="E49" s="308">
        <f>SUM(E41:E48)</f>
        <v>-40849.65926</v>
      </c>
    </row>
    <row r="50" spans="1:10" ht="16" hidden="1" thickTop="1">
      <c r="A50" s="286"/>
      <c r="B50" s="287"/>
      <c r="C50" s="312">
        <v>21171739</v>
      </c>
      <c r="D50" s="307"/>
      <c r="E50" s="308"/>
    </row>
    <row r="51" spans="1:10" ht="15.5" hidden="1">
      <c r="A51" s="286"/>
      <c r="B51" s="287"/>
      <c r="C51" s="309">
        <f>C50-C49</f>
        <v>0</v>
      </c>
      <c r="D51" s="307"/>
      <c r="E51" s="308"/>
    </row>
    <row r="52" spans="1:10" ht="15.5" hidden="1">
      <c r="A52" s="292"/>
      <c r="B52" s="292"/>
      <c r="C52" s="286" t="s">
        <v>1</v>
      </c>
      <c r="D52" s="310">
        <f>A39</f>
        <v>41364</v>
      </c>
      <c r="E52" s="311">
        <f>E36+E49</f>
        <v>121338.15052000001</v>
      </c>
    </row>
    <row r="53" spans="1:10" ht="15" hidden="1" thickBot="1"/>
    <row r="54" spans="1:10" ht="15.5" hidden="1">
      <c r="A54" s="718" t="s">
        <v>197</v>
      </c>
      <c r="B54" s="719"/>
      <c r="C54" s="719"/>
      <c r="D54" s="719"/>
      <c r="E54" s="720"/>
      <c r="G54" s="292"/>
      <c r="H54" s="292"/>
      <c r="I54" s="292"/>
    </row>
    <row r="55" spans="1:10" ht="15.5" hidden="1">
      <c r="A55" s="220">
        <v>41394</v>
      </c>
      <c r="B55" s="278"/>
      <c r="C55" s="279" t="s">
        <v>101</v>
      </c>
      <c r="D55" s="280"/>
      <c r="E55" s="281"/>
    </row>
    <row r="56" spans="1:10" ht="16" hidden="1" thickBot="1">
      <c r="A56" s="282"/>
      <c r="B56" s="283"/>
      <c r="C56" s="284" t="s">
        <v>21</v>
      </c>
      <c r="D56" s="284" t="s">
        <v>22</v>
      </c>
      <c r="E56" s="285" t="s">
        <v>23</v>
      </c>
    </row>
    <row r="57" spans="1:10" ht="15.5" hidden="1">
      <c r="A57" s="286" t="s">
        <v>24</v>
      </c>
      <c r="B57" s="287">
        <v>101</v>
      </c>
      <c r="C57" s="288">
        <v>8689955</v>
      </c>
      <c r="D57" s="289">
        <v>-2.1900000000000001E-3</v>
      </c>
      <c r="E57" s="290">
        <v>-19031.00145</v>
      </c>
    </row>
    <row r="58" spans="1:10" ht="16" hidden="1" thickBot="1">
      <c r="A58" s="286" t="s">
        <v>24</v>
      </c>
      <c r="B58" s="287">
        <v>111</v>
      </c>
      <c r="C58" s="288">
        <v>3665435</v>
      </c>
      <c r="D58" s="289">
        <v>-2.1900000000000001E-3</v>
      </c>
      <c r="E58" s="290">
        <v>-8027.3026500000005</v>
      </c>
      <c r="G58" s="291">
        <f>A55</f>
        <v>41394</v>
      </c>
      <c r="H58" s="292"/>
      <c r="I58" s="292"/>
      <c r="J58" s="292"/>
    </row>
    <row r="59" spans="1:10" ht="16" hidden="1" thickBot="1">
      <c r="A59" s="286" t="s">
        <v>24</v>
      </c>
      <c r="B59" s="287">
        <v>112</v>
      </c>
      <c r="C59" s="288">
        <v>0</v>
      </c>
      <c r="D59" s="289">
        <v>-2.1900000000000001E-3</v>
      </c>
      <c r="E59" s="290">
        <v>0</v>
      </c>
      <c r="G59" s="293" t="s">
        <v>25</v>
      </c>
      <c r="H59" s="294"/>
      <c r="I59" s="295" t="s">
        <v>18</v>
      </c>
      <c r="J59" s="295" t="s">
        <v>19</v>
      </c>
    </row>
    <row r="60" spans="1:10" ht="15.5" hidden="1">
      <c r="A60" s="286" t="s">
        <v>24</v>
      </c>
      <c r="B60" s="287">
        <v>121</v>
      </c>
      <c r="C60" s="288">
        <v>375679</v>
      </c>
      <c r="D60" s="289">
        <v>-2.1900000000000001E-3</v>
      </c>
      <c r="E60" s="290">
        <v>-822.73701000000005</v>
      </c>
      <c r="G60" s="296" t="s">
        <v>97</v>
      </c>
      <c r="H60" s="297" t="s">
        <v>26</v>
      </c>
      <c r="I60" s="298">
        <f>-E65</f>
        <v>28792.572810000001</v>
      </c>
      <c r="J60" s="299">
        <v>0</v>
      </c>
    </row>
    <row r="61" spans="1:10" ht="16" hidden="1" thickBot="1">
      <c r="A61" s="286" t="s">
        <v>24</v>
      </c>
      <c r="B61" s="287">
        <v>122</v>
      </c>
      <c r="C61" s="288">
        <v>67054</v>
      </c>
      <c r="D61" s="289">
        <v>-2.1900000000000001E-3</v>
      </c>
      <c r="E61" s="290">
        <v>-146.84826000000001</v>
      </c>
      <c r="G61" s="300" t="s">
        <v>198</v>
      </c>
      <c r="H61" s="301" t="s">
        <v>199</v>
      </c>
      <c r="I61" s="302">
        <v>0</v>
      </c>
      <c r="J61" s="303">
        <f>-I60</f>
        <v>-28792.572810000001</v>
      </c>
    </row>
    <row r="62" spans="1:10" ht="15.5" hidden="1">
      <c r="A62" s="286" t="s">
        <v>24</v>
      </c>
      <c r="B62" s="287">
        <v>131</v>
      </c>
      <c r="C62" s="288">
        <v>0</v>
      </c>
      <c r="D62" s="289">
        <v>-2.1900000000000001E-3</v>
      </c>
      <c r="E62" s="290">
        <v>0</v>
      </c>
      <c r="G62" s="292"/>
      <c r="H62" s="292"/>
      <c r="I62" s="292"/>
      <c r="J62" s="304">
        <f>SUM(I60:J61)</f>
        <v>0</v>
      </c>
    </row>
    <row r="63" spans="1:10" ht="15.5" hidden="1">
      <c r="A63" s="286" t="s">
        <v>24</v>
      </c>
      <c r="B63" s="287">
        <v>132</v>
      </c>
      <c r="C63" s="288">
        <v>126416</v>
      </c>
      <c r="D63" s="289">
        <v>-2.1900000000000001E-3</v>
      </c>
      <c r="E63" s="290">
        <v>-276.85104000000001</v>
      </c>
    </row>
    <row r="64" spans="1:10" ht="15.5" hidden="1">
      <c r="A64" s="286" t="s">
        <v>24</v>
      </c>
      <c r="B64" s="287">
        <v>146</v>
      </c>
      <c r="C64" s="288">
        <v>2439162</v>
      </c>
      <c r="D64" s="289">
        <v>-2.0000000000000001E-4</v>
      </c>
      <c r="E64" s="305">
        <v>-487.83240000000001</v>
      </c>
    </row>
    <row r="65" spans="1:10" ht="16" hidden="1" thickBot="1">
      <c r="A65" s="286" t="s">
        <v>200</v>
      </c>
      <c r="B65" s="287"/>
      <c r="C65" s="306">
        <f>SUM(C57:C64)</f>
        <v>15363701</v>
      </c>
      <c r="D65" s="307"/>
      <c r="E65" s="308">
        <f>SUM(E57:E64)</f>
        <v>-28792.572810000001</v>
      </c>
    </row>
    <row r="66" spans="1:10" ht="16" hidden="1" thickTop="1">
      <c r="A66" s="286"/>
      <c r="B66" s="287"/>
      <c r="C66" s="312">
        <v>15363701</v>
      </c>
      <c r="D66" s="307"/>
      <c r="E66" s="308"/>
    </row>
    <row r="67" spans="1:10" ht="15.5" hidden="1">
      <c r="A67" s="286"/>
      <c r="B67" s="287"/>
      <c r="C67" s="309">
        <f>C66-C65</f>
        <v>0</v>
      </c>
      <c r="D67" s="307"/>
      <c r="E67" s="308"/>
    </row>
    <row r="68" spans="1:10" ht="15.5" hidden="1">
      <c r="A68" s="292"/>
      <c r="B68" s="292"/>
      <c r="C68" s="286" t="s">
        <v>1</v>
      </c>
      <c r="D68" s="310">
        <f>A55</f>
        <v>41394</v>
      </c>
      <c r="E68" s="311">
        <f>E52+E65</f>
        <v>92545.577710000012</v>
      </c>
      <c r="G68" s="387"/>
    </row>
    <row r="69" spans="1:10" ht="15" hidden="1" thickBot="1"/>
    <row r="70" spans="1:10" ht="15.5" hidden="1">
      <c r="A70" s="718" t="s">
        <v>197</v>
      </c>
      <c r="B70" s="719"/>
      <c r="C70" s="719"/>
      <c r="D70" s="719"/>
      <c r="E70" s="720"/>
      <c r="G70" s="292"/>
      <c r="H70" s="292"/>
      <c r="I70" s="292"/>
    </row>
    <row r="71" spans="1:10" ht="15.5" hidden="1">
      <c r="A71" s="220">
        <v>41425</v>
      </c>
      <c r="B71" s="278"/>
      <c r="C71" s="279" t="s">
        <v>101</v>
      </c>
      <c r="D71" s="280"/>
      <c r="E71" s="281"/>
    </row>
    <row r="72" spans="1:10" ht="16" hidden="1" thickBot="1">
      <c r="A72" s="282"/>
      <c r="B72" s="283"/>
      <c r="C72" s="284" t="s">
        <v>21</v>
      </c>
      <c r="D72" s="284" t="s">
        <v>22</v>
      </c>
      <c r="E72" s="285" t="s">
        <v>23</v>
      </c>
    </row>
    <row r="73" spans="1:10" ht="15.5" hidden="1">
      <c r="A73" s="286" t="s">
        <v>24</v>
      </c>
      <c r="B73" s="287">
        <v>101</v>
      </c>
      <c r="C73" s="288">
        <v>4182901</v>
      </c>
      <c r="D73" s="289">
        <v>-2.1900000000000001E-3</v>
      </c>
      <c r="E73" s="290">
        <v>-9160.5531900000005</v>
      </c>
    </row>
    <row r="74" spans="1:10" ht="16" hidden="1" thickBot="1">
      <c r="A74" s="286" t="s">
        <v>24</v>
      </c>
      <c r="B74" s="287">
        <v>111</v>
      </c>
      <c r="C74" s="288">
        <v>1970725</v>
      </c>
      <c r="D74" s="289">
        <v>-2.1900000000000001E-3</v>
      </c>
      <c r="E74" s="290">
        <v>-4315.8877499999999</v>
      </c>
      <c r="G74" s="291">
        <f>A71</f>
        <v>41425</v>
      </c>
      <c r="H74" s="292"/>
      <c r="I74" s="292"/>
      <c r="J74" s="292"/>
    </row>
    <row r="75" spans="1:10" ht="16" hidden="1" thickBot="1">
      <c r="A75" s="286" t="s">
        <v>24</v>
      </c>
      <c r="B75" s="287">
        <v>112</v>
      </c>
      <c r="C75" s="288">
        <v>0</v>
      </c>
      <c r="D75" s="289">
        <v>-2.1900000000000001E-3</v>
      </c>
      <c r="E75" s="290">
        <v>0</v>
      </c>
      <c r="G75" s="293" t="s">
        <v>25</v>
      </c>
      <c r="H75" s="294"/>
      <c r="I75" s="295" t="s">
        <v>18</v>
      </c>
      <c r="J75" s="295" t="s">
        <v>19</v>
      </c>
    </row>
    <row r="76" spans="1:10" ht="15.5" hidden="1">
      <c r="A76" s="286" t="s">
        <v>24</v>
      </c>
      <c r="B76" s="287">
        <v>121</v>
      </c>
      <c r="C76" s="288">
        <v>339319</v>
      </c>
      <c r="D76" s="289">
        <v>-2.1900000000000001E-3</v>
      </c>
      <c r="E76" s="290">
        <v>-743.10861</v>
      </c>
      <c r="G76" s="296" t="s">
        <v>97</v>
      </c>
      <c r="H76" s="297" t="s">
        <v>26</v>
      </c>
      <c r="I76" s="298">
        <f>-E81</f>
        <v>14976.37256</v>
      </c>
      <c r="J76" s="299">
        <v>0</v>
      </c>
    </row>
    <row r="77" spans="1:10" ht="16" hidden="1" thickBot="1">
      <c r="A77" s="286" t="s">
        <v>24</v>
      </c>
      <c r="B77" s="287">
        <v>122</v>
      </c>
      <c r="C77" s="288">
        <v>57247</v>
      </c>
      <c r="D77" s="289">
        <v>-2.1900000000000001E-3</v>
      </c>
      <c r="E77" s="290">
        <v>-125.37093</v>
      </c>
      <c r="G77" s="300" t="s">
        <v>198</v>
      </c>
      <c r="H77" s="301" t="s">
        <v>199</v>
      </c>
      <c r="I77" s="302">
        <v>0</v>
      </c>
      <c r="J77" s="303">
        <f>-I76</f>
        <v>-14976.37256</v>
      </c>
    </row>
    <row r="78" spans="1:10" ht="15.5" hidden="1">
      <c r="A78" s="286" t="s">
        <v>24</v>
      </c>
      <c r="B78" s="287">
        <v>131</v>
      </c>
      <c r="C78" s="288">
        <v>0</v>
      </c>
      <c r="D78" s="289">
        <v>-2.1900000000000001E-3</v>
      </c>
      <c r="E78" s="290">
        <v>0</v>
      </c>
      <c r="G78" s="292"/>
      <c r="H78" s="292"/>
      <c r="I78" s="292"/>
      <c r="J78" s="304">
        <f>SUM(I76:J77)</f>
        <v>0</v>
      </c>
    </row>
    <row r="79" spans="1:10" ht="15.5" hidden="1">
      <c r="A79" s="286" t="s">
        <v>24</v>
      </c>
      <c r="B79" s="287">
        <v>132</v>
      </c>
      <c r="C79" s="288">
        <v>107592</v>
      </c>
      <c r="D79" s="289">
        <v>-2.1900000000000001E-3</v>
      </c>
      <c r="E79" s="290">
        <v>-235.62648000000002</v>
      </c>
    </row>
    <row r="80" spans="1:10" ht="15.5" hidden="1">
      <c r="A80" s="286" t="s">
        <v>24</v>
      </c>
      <c r="B80" s="287">
        <v>146</v>
      </c>
      <c r="C80" s="288">
        <v>1979128</v>
      </c>
      <c r="D80" s="289">
        <v>-2.0000000000000001E-4</v>
      </c>
      <c r="E80" s="305">
        <v>-395.82560000000001</v>
      </c>
    </row>
    <row r="81" spans="1:10" ht="16" hidden="1" thickBot="1">
      <c r="A81" s="286" t="s">
        <v>200</v>
      </c>
      <c r="B81" s="287"/>
      <c r="C81" s="306">
        <f>SUM(C73:C80)</f>
        <v>8636912</v>
      </c>
      <c r="D81" s="307"/>
      <c r="E81" s="308">
        <f>SUM(E73:E80)</f>
        <v>-14976.37256</v>
      </c>
    </row>
    <row r="82" spans="1:10" ht="16" hidden="1" thickTop="1">
      <c r="A82" s="286"/>
      <c r="B82" s="287"/>
      <c r="C82" s="312">
        <v>8636912</v>
      </c>
      <c r="D82" s="307"/>
      <c r="E82" s="308"/>
    </row>
    <row r="83" spans="1:10" ht="15.5" hidden="1">
      <c r="A83" s="286"/>
      <c r="B83" s="287"/>
      <c r="C83" s="309">
        <f>C82-C81</f>
        <v>0</v>
      </c>
      <c r="D83" s="307"/>
      <c r="E83" s="308"/>
    </row>
    <row r="84" spans="1:10" ht="15.5">
      <c r="A84" s="292"/>
      <c r="B84" s="292"/>
      <c r="C84" s="286" t="s">
        <v>1</v>
      </c>
      <c r="D84" s="310">
        <f>EOMONTH(D68,1)</f>
        <v>41425</v>
      </c>
      <c r="E84" s="311">
        <f>E68+E81</f>
        <v>77569.205150000009</v>
      </c>
    </row>
    <row r="85" spans="1:10" ht="15" thickBot="1"/>
    <row r="86" spans="1:10" ht="15.5">
      <c r="A86" s="718" t="s">
        <v>197</v>
      </c>
      <c r="B86" s="719"/>
      <c r="C86" s="719"/>
      <c r="D86" s="719"/>
      <c r="E86" s="720"/>
      <c r="G86" s="292"/>
      <c r="H86" s="292"/>
      <c r="I86" s="292"/>
    </row>
    <row r="87" spans="1:10" ht="15.5">
      <c r="A87" s="220">
        <v>41426</v>
      </c>
      <c r="B87" s="278"/>
      <c r="C87" s="279" t="s">
        <v>101</v>
      </c>
      <c r="D87" s="280"/>
      <c r="E87" s="281"/>
    </row>
    <row r="88" spans="1:10" ht="16" thickBot="1">
      <c r="A88" s="282"/>
      <c r="B88" s="283"/>
      <c r="C88" s="284" t="s">
        <v>21</v>
      </c>
      <c r="D88" s="284" t="s">
        <v>22</v>
      </c>
      <c r="E88" s="285" t="s">
        <v>23</v>
      </c>
    </row>
    <row r="89" spans="1:10" ht="15.5">
      <c r="A89" s="286" t="s">
        <v>24</v>
      </c>
      <c r="B89" s="287">
        <v>101</v>
      </c>
      <c r="C89" s="288">
        <v>2800295</v>
      </c>
      <c r="D89" s="289">
        <v>-2.1900000000000001E-3</v>
      </c>
      <c r="E89" s="290">
        <v>-6132.6460500000003</v>
      </c>
    </row>
    <row r="90" spans="1:10" ht="16" thickBot="1">
      <c r="A90" s="286" t="s">
        <v>24</v>
      </c>
      <c r="B90" s="287">
        <v>111</v>
      </c>
      <c r="C90" s="288">
        <v>1678252</v>
      </c>
      <c r="D90" s="289">
        <v>-2.1900000000000001E-3</v>
      </c>
      <c r="E90" s="290">
        <v>-3675.3718800000001</v>
      </c>
      <c r="G90" s="291">
        <f>A87</f>
        <v>41426</v>
      </c>
      <c r="H90" s="292"/>
      <c r="I90" s="292"/>
      <c r="J90" s="292"/>
    </row>
    <row r="91" spans="1:10" ht="16" thickBot="1">
      <c r="A91" s="286" t="s">
        <v>24</v>
      </c>
      <c r="B91" s="287">
        <v>112</v>
      </c>
      <c r="C91" s="288">
        <v>0</v>
      </c>
      <c r="D91" s="289">
        <v>-2.1900000000000001E-3</v>
      </c>
      <c r="E91" s="290">
        <v>0</v>
      </c>
      <c r="G91" s="293" t="s">
        <v>25</v>
      </c>
      <c r="H91" s="294"/>
      <c r="I91" s="295" t="s">
        <v>18</v>
      </c>
      <c r="J91" s="295" t="s">
        <v>19</v>
      </c>
    </row>
    <row r="92" spans="1:10" ht="15.5">
      <c r="A92" s="286" t="s">
        <v>24</v>
      </c>
      <c r="B92" s="287">
        <v>121</v>
      </c>
      <c r="C92" s="288">
        <v>339158</v>
      </c>
      <c r="D92" s="289">
        <v>-2.1900000000000001E-3</v>
      </c>
      <c r="E92" s="290">
        <v>-742.75602000000003</v>
      </c>
      <c r="G92" s="296" t="s">
        <v>97</v>
      </c>
      <c r="H92" s="297" t="s">
        <v>26</v>
      </c>
      <c r="I92" s="298">
        <f>-E97</f>
        <v>11131.53289</v>
      </c>
      <c r="J92" s="299">
        <v>0</v>
      </c>
    </row>
    <row r="93" spans="1:10" ht="16" thickBot="1">
      <c r="A93" s="286" t="s">
        <v>24</v>
      </c>
      <c r="B93" s="287">
        <v>122</v>
      </c>
      <c r="C93" s="288">
        <v>42891</v>
      </c>
      <c r="D93" s="289">
        <v>-2.1900000000000001E-3</v>
      </c>
      <c r="E93" s="290">
        <v>-93.931290000000004</v>
      </c>
      <c r="G93" s="300" t="s">
        <v>198</v>
      </c>
      <c r="H93" s="301" t="s">
        <v>199</v>
      </c>
      <c r="I93" s="302">
        <v>0</v>
      </c>
      <c r="J93" s="303">
        <f>-I92</f>
        <v>-11131.53289</v>
      </c>
    </row>
    <row r="94" spans="1:10" ht="15.5">
      <c r="A94" s="286" t="s">
        <v>24</v>
      </c>
      <c r="B94" s="287">
        <v>131</v>
      </c>
      <c r="C94" s="288">
        <v>0</v>
      </c>
      <c r="D94" s="289">
        <v>-2.1900000000000001E-3</v>
      </c>
      <c r="E94" s="290">
        <v>0</v>
      </c>
      <c r="G94" s="292"/>
      <c r="H94" s="292"/>
      <c r="I94" s="292"/>
      <c r="J94" s="304">
        <f>SUM(I92:J93)</f>
        <v>0</v>
      </c>
    </row>
    <row r="95" spans="1:10" ht="15.5">
      <c r="A95" s="286" t="s">
        <v>24</v>
      </c>
      <c r="B95" s="287">
        <v>132</v>
      </c>
      <c r="C95" s="288">
        <v>77535</v>
      </c>
      <c r="D95" s="289">
        <v>-2.1900000000000001E-3</v>
      </c>
      <c r="E95" s="290">
        <v>-169.80165</v>
      </c>
    </row>
    <row r="96" spans="1:10" ht="15.5">
      <c r="A96" s="286" t="s">
        <v>24</v>
      </c>
      <c r="B96" s="287">
        <v>146</v>
      </c>
      <c r="C96" s="288">
        <v>1585130</v>
      </c>
      <c r="D96" s="289">
        <v>-2.0000000000000001E-4</v>
      </c>
      <c r="E96" s="305">
        <v>-317.02600000000001</v>
      </c>
    </row>
    <row r="97" spans="1:10" ht="16" thickBot="1">
      <c r="A97" s="286" t="s">
        <v>200</v>
      </c>
      <c r="B97" s="287"/>
      <c r="C97" s="306">
        <f>SUM(C89:C96)</f>
        <v>6523261</v>
      </c>
      <c r="D97" s="307"/>
      <c r="E97" s="308">
        <f>SUM(E89:E96)</f>
        <v>-11131.53289</v>
      </c>
    </row>
    <row r="98" spans="1:10" ht="16" thickTop="1">
      <c r="A98" s="286"/>
      <c r="B98" s="287"/>
      <c r="C98" s="312">
        <v>6523261</v>
      </c>
      <c r="D98" s="307"/>
      <c r="E98" s="308"/>
    </row>
    <row r="99" spans="1:10" ht="15.5">
      <c r="A99" s="286"/>
      <c r="B99" s="287"/>
      <c r="C99" s="309">
        <f>C98-C97</f>
        <v>0</v>
      </c>
      <c r="D99" s="307"/>
      <c r="E99" s="308"/>
    </row>
    <row r="100" spans="1:10" ht="15.5">
      <c r="A100" s="292"/>
      <c r="B100" s="292"/>
      <c r="C100" s="286" t="s">
        <v>1</v>
      </c>
      <c r="D100" s="310">
        <f>EOMONTH(D84,1)</f>
        <v>41455</v>
      </c>
      <c r="E100" s="311">
        <f>E84+E97</f>
        <v>66437.672260000007</v>
      </c>
    </row>
    <row r="101" spans="1:10" ht="15" thickBot="1"/>
    <row r="102" spans="1:10" ht="15.5">
      <c r="A102" s="718" t="s">
        <v>197</v>
      </c>
      <c r="B102" s="719"/>
      <c r="C102" s="719"/>
      <c r="D102" s="719"/>
      <c r="E102" s="720"/>
      <c r="G102" s="292"/>
      <c r="H102" s="292"/>
      <c r="I102" s="292"/>
    </row>
    <row r="103" spans="1:10" ht="15.5">
      <c r="A103" s="220">
        <v>41456</v>
      </c>
      <c r="B103" s="278"/>
      <c r="C103" s="279" t="s">
        <v>101</v>
      </c>
      <c r="D103" s="280"/>
      <c r="E103" s="281"/>
    </row>
    <row r="104" spans="1:10" ht="16" thickBot="1">
      <c r="A104" s="282"/>
      <c r="B104" s="283"/>
      <c r="C104" s="284" t="s">
        <v>21</v>
      </c>
      <c r="D104" s="284" t="s">
        <v>22</v>
      </c>
      <c r="E104" s="285" t="s">
        <v>23</v>
      </c>
    </row>
    <row r="105" spans="1:10" ht="15.5">
      <c r="A105" s="286" t="s">
        <v>24</v>
      </c>
      <c r="B105" s="287">
        <v>101</v>
      </c>
      <c r="C105" s="288">
        <v>2082299</v>
      </c>
      <c r="D105" s="289">
        <v>-2.1900000000000001E-3</v>
      </c>
      <c r="E105" s="290">
        <v>-4560.2348099999999</v>
      </c>
    </row>
    <row r="106" spans="1:10" ht="16" thickBot="1">
      <c r="A106" s="286" t="s">
        <v>24</v>
      </c>
      <c r="B106" s="287">
        <v>111</v>
      </c>
      <c r="C106" s="288">
        <v>1140112</v>
      </c>
      <c r="D106" s="289">
        <v>-2.1900000000000001E-3</v>
      </c>
      <c r="E106" s="290">
        <v>-2496.84528</v>
      </c>
      <c r="G106" s="291">
        <f>A103</f>
        <v>41456</v>
      </c>
      <c r="H106" s="292"/>
      <c r="I106" s="292"/>
      <c r="J106" s="292"/>
    </row>
    <row r="107" spans="1:10" ht="16" thickBot="1">
      <c r="A107" s="286" t="s">
        <v>24</v>
      </c>
      <c r="B107" s="287">
        <v>112</v>
      </c>
      <c r="C107" s="288">
        <v>0</v>
      </c>
      <c r="D107" s="289">
        <v>-2.1900000000000001E-3</v>
      </c>
      <c r="E107" s="290">
        <v>0</v>
      </c>
      <c r="G107" s="293" t="s">
        <v>25</v>
      </c>
      <c r="H107" s="294"/>
      <c r="I107" s="295" t="s">
        <v>18</v>
      </c>
      <c r="J107" s="295" t="s">
        <v>19</v>
      </c>
    </row>
    <row r="108" spans="1:10" ht="15.5">
      <c r="A108" s="286" t="s">
        <v>24</v>
      </c>
      <c r="B108" s="287">
        <v>121</v>
      </c>
      <c r="C108" s="288">
        <v>304732</v>
      </c>
      <c r="D108" s="289">
        <v>-2.1900000000000001E-3</v>
      </c>
      <c r="E108" s="290">
        <v>-667.36308000000008</v>
      </c>
      <c r="G108" s="296" t="s">
        <v>97</v>
      </c>
      <c r="H108" s="297" t="s">
        <v>26</v>
      </c>
      <c r="I108" s="298">
        <f>-E113</f>
        <v>8287.0303600000007</v>
      </c>
      <c r="J108" s="299">
        <v>0</v>
      </c>
    </row>
    <row r="109" spans="1:10" ht="16" thickBot="1">
      <c r="A109" s="286" t="s">
        <v>24</v>
      </c>
      <c r="B109" s="287">
        <v>122</v>
      </c>
      <c r="C109" s="288">
        <v>30928</v>
      </c>
      <c r="D109" s="289">
        <v>-2.1900000000000001E-3</v>
      </c>
      <c r="E109" s="290">
        <v>-67.732320000000001</v>
      </c>
      <c r="G109" s="300" t="s">
        <v>198</v>
      </c>
      <c r="H109" s="301" t="s">
        <v>199</v>
      </c>
      <c r="I109" s="302">
        <v>0</v>
      </c>
      <c r="J109" s="303">
        <f>-I108</f>
        <v>-8287.0303600000007</v>
      </c>
    </row>
    <row r="110" spans="1:10" ht="15.5">
      <c r="A110" s="286" t="s">
        <v>24</v>
      </c>
      <c r="B110" s="287">
        <v>131</v>
      </c>
      <c r="C110" s="288">
        <v>0</v>
      </c>
      <c r="D110" s="289">
        <v>-2.1900000000000001E-3</v>
      </c>
      <c r="E110" s="290">
        <v>0</v>
      </c>
      <c r="G110" s="292"/>
      <c r="H110" s="292"/>
      <c r="I110" s="292"/>
      <c r="J110" s="304">
        <f>SUM(I108:J109)</f>
        <v>0</v>
      </c>
    </row>
    <row r="111" spans="1:10" ht="15.5">
      <c r="A111" s="286" t="s">
        <v>24</v>
      </c>
      <c r="B111" s="287">
        <v>132</v>
      </c>
      <c r="C111" s="288">
        <v>74633</v>
      </c>
      <c r="D111" s="289">
        <v>-2.1900000000000001E-3</v>
      </c>
      <c r="E111" s="290">
        <v>-163.44627</v>
      </c>
    </row>
    <row r="112" spans="1:10" ht="15.5">
      <c r="A112" s="286" t="s">
        <v>24</v>
      </c>
      <c r="B112" s="287">
        <v>146</v>
      </c>
      <c r="C112" s="288">
        <v>1657043</v>
      </c>
      <c r="D112" s="289">
        <v>-2.0000000000000001E-4</v>
      </c>
      <c r="E112" s="305">
        <v>-331.40860000000004</v>
      </c>
    </row>
    <row r="113" spans="1:10" ht="16" thickBot="1">
      <c r="A113" s="286" t="s">
        <v>200</v>
      </c>
      <c r="B113" s="287"/>
      <c r="C113" s="306">
        <f>SUM(C105:C112)</f>
        <v>5289747</v>
      </c>
      <c r="D113" s="307"/>
      <c r="E113" s="308">
        <f>SUM(E105:E112)</f>
        <v>-8287.0303600000007</v>
      </c>
    </row>
    <row r="114" spans="1:10" ht="16" thickTop="1">
      <c r="A114" s="286"/>
      <c r="B114" s="287"/>
      <c r="C114" s="312">
        <v>5289747</v>
      </c>
      <c r="D114" s="307"/>
      <c r="E114" s="308"/>
    </row>
    <row r="115" spans="1:10" ht="15.5">
      <c r="A115" s="286"/>
      <c r="B115" s="287"/>
      <c r="C115" s="309">
        <f>C114-C113</f>
        <v>0</v>
      </c>
      <c r="D115" s="307"/>
      <c r="E115" s="308"/>
    </row>
    <row r="116" spans="1:10" ht="15.5">
      <c r="A116" s="292"/>
      <c r="B116" s="292"/>
      <c r="C116" s="286" t="s">
        <v>1</v>
      </c>
      <c r="D116" s="310">
        <f>EOMONTH(D100,1)</f>
        <v>41486</v>
      </c>
      <c r="E116" s="311">
        <f>E100+E113</f>
        <v>58150.641900000002</v>
      </c>
    </row>
    <row r="117" spans="1:10" ht="15" thickBot="1"/>
    <row r="118" spans="1:10" ht="15.5">
      <c r="A118" s="718" t="s">
        <v>197</v>
      </c>
      <c r="B118" s="719"/>
      <c r="C118" s="719"/>
      <c r="D118" s="719"/>
      <c r="E118" s="720"/>
      <c r="G118" s="292"/>
      <c r="H118" s="292"/>
      <c r="I118" s="292"/>
    </row>
    <row r="119" spans="1:10" ht="15.5">
      <c r="A119" s="220">
        <v>41487</v>
      </c>
      <c r="B119" s="278"/>
      <c r="C119" s="279" t="s">
        <v>101</v>
      </c>
      <c r="D119" s="280"/>
      <c r="E119" s="281"/>
    </row>
    <row r="120" spans="1:10" ht="16" thickBot="1">
      <c r="A120" s="282"/>
      <c r="B120" s="283"/>
      <c r="C120" s="284" t="s">
        <v>21</v>
      </c>
      <c r="D120" s="284" t="s">
        <v>22</v>
      </c>
      <c r="E120" s="285" t="s">
        <v>23</v>
      </c>
    </row>
    <row r="121" spans="1:10" ht="15.5">
      <c r="A121" s="286" t="s">
        <v>24</v>
      </c>
      <c r="B121" s="287">
        <v>101</v>
      </c>
      <c r="C121" s="288">
        <v>2046635</v>
      </c>
      <c r="D121" s="289">
        <v>-2.1900000000000001E-3</v>
      </c>
      <c r="E121" s="290">
        <v>-4482.1306500000001</v>
      </c>
    </row>
    <row r="122" spans="1:10" ht="16" thickBot="1">
      <c r="A122" s="286" t="s">
        <v>24</v>
      </c>
      <c r="B122" s="287">
        <v>111</v>
      </c>
      <c r="C122" s="288">
        <v>1287109</v>
      </c>
      <c r="D122" s="289">
        <v>-2.1900000000000001E-3</v>
      </c>
      <c r="E122" s="290">
        <v>-2818.7687100000003</v>
      </c>
      <c r="G122" s="291">
        <f>A119</f>
        <v>41487</v>
      </c>
      <c r="H122" s="292"/>
      <c r="I122" s="292"/>
      <c r="J122" s="292"/>
    </row>
    <row r="123" spans="1:10" ht="16" thickBot="1">
      <c r="A123" s="286" t="s">
        <v>24</v>
      </c>
      <c r="B123" s="287">
        <v>112</v>
      </c>
      <c r="C123" s="288">
        <v>0</v>
      </c>
      <c r="D123" s="289">
        <v>-2.1900000000000001E-3</v>
      </c>
      <c r="E123" s="290">
        <v>0</v>
      </c>
      <c r="G123" s="293" t="s">
        <v>25</v>
      </c>
      <c r="H123" s="294"/>
      <c r="I123" s="295" t="s">
        <v>18</v>
      </c>
      <c r="J123" s="295" t="s">
        <v>19</v>
      </c>
    </row>
    <row r="124" spans="1:10" ht="15.5">
      <c r="A124" s="286" t="s">
        <v>24</v>
      </c>
      <c r="B124" s="287">
        <v>121</v>
      </c>
      <c r="C124" s="288">
        <v>364418</v>
      </c>
      <c r="D124" s="289">
        <v>-2.1900000000000001E-3</v>
      </c>
      <c r="E124" s="290">
        <v>-798.07542000000001</v>
      </c>
      <c r="G124" s="296" t="s">
        <v>97</v>
      </c>
      <c r="H124" s="297" t="s">
        <v>26</v>
      </c>
      <c r="I124" s="298">
        <f>-E129</f>
        <v>8611.5948700000008</v>
      </c>
      <c r="J124" s="299">
        <v>0</v>
      </c>
    </row>
    <row r="125" spans="1:10" ht="16" thickBot="1">
      <c r="A125" s="286" t="s">
        <v>24</v>
      </c>
      <c r="B125" s="287">
        <v>122</v>
      </c>
      <c r="C125" s="288">
        <v>28500</v>
      </c>
      <c r="D125" s="289">
        <v>-2.1900000000000001E-3</v>
      </c>
      <c r="E125" s="290">
        <v>-62.415000000000006</v>
      </c>
      <c r="G125" s="300" t="s">
        <v>198</v>
      </c>
      <c r="H125" s="301" t="s">
        <v>199</v>
      </c>
      <c r="I125" s="302">
        <v>0</v>
      </c>
      <c r="J125" s="303">
        <f>-I124</f>
        <v>-8611.5948700000008</v>
      </c>
    </row>
    <row r="126" spans="1:10" ht="15.5">
      <c r="A126" s="286" t="s">
        <v>24</v>
      </c>
      <c r="B126" s="287">
        <v>131</v>
      </c>
      <c r="C126" s="288">
        <v>0</v>
      </c>
      <c r="D126" s="289">
        <v>-2.1900000000000001E-3</v>
      </c>
      <c r="E126" s="290">
        <v>0</v>
      </c>
      <c r="G126" s="292"/>
      <c r="H126" s="292"/>
      <c r="I126" s="292"/>
      <c r="J126" s="304">
        <f>SUM(I124:J125)</f>
        <v>0</v>
      </c>
    </row>
    <row r="127" spans="1:10" ht="15.5">
      <c r="A127" s="286" t="s">
        <v>24</v>
      </c>
      <c r="B127" s="287">
        <v>132</v>
      </c>
      <c r="C127" s="288">
        <v>49431</v>
      </c>
      <c r="D127" s="289">
        <v>-2.1900000000000001E-3</v>
      </c>
      <c r="E127" s="290">
        <v>-108.25389</v>
      </c>
    </row>
    <row r="128" spans="1:10" ht="15.5">
      <c r="A128" s="286" t="s">
        <v>24</v>
      </c>
      <c r="B128" s="287">
        <v>146</v>
      </c>
      <c r="C128" s="288">
        <v>1709756</v>
      </c>
      <c r="D128" s="289">
        <v>-2.0000000000000001E-4</v>
      </c>
      <c r="E128" s="305">
        <v>-341.95120000000003</v>
      </c>
    </row>
    <row r="129" spans="1:10" ht="16" thickBot="1">
      <c r="A129" s="286" t="s">
        <v>200</v>
      </c>
      <c r="B129" s="287"/>
      <c r="C129" s="306">
        <f>SUM(C121:C128)</f>
        <v>5485849</v>
      </c>
      <c r="D129" s="307"/>
      <c r="E129" s="308">
        <f>SUM(E121:E128)</f>
        <v>-8611.5948700000008</v>
      </c>
    </row>
    <row r="130" spans="1:10" ht="16" thickTop="1">
      <c r="A130" s="286"/>
      <c r="B130" s="287"/>
      <c r="C130" s="312">
        <v>5485849</v>
      </c>
      <c r="D130" s="307"/>
      <c r="E130" s="308"/>
    </row>
    <row r="131" spans="1:10" ht="15.5">
      <c r="A131" s="286"/>
      <c r="B131" s="287"/>
      <c r="C131" s="309">
        <f>C130-C129</f>
        <v>0</v>
      </c>
      <c r="D131" s="307"/>
      <c r="E131" s="308"/>
    </row>
    <row r="132" spans="1:10" ht="15.5">
      <c r="A132" s="292"/>
      <c r="B132" s="292"/>
      <c r="C132" s="286" t="s">
        <v>1</v>
      </c>
      <c r="D132" s="310">
        <f>EOMONTH(D116,1)</f>
        <v>41517</v>
      </c>
      <c r="E132" s="311">
        <f>E116+E129</f>
        <v>49539.047030000002</v>
      </c>
    </row>
    <row r="133" spans="1:10" ht="15" thickBot="1"/>
    <row r="134" spans="1:10" ht="15.5">
      <c r="A134" s="718" t="s">
        <v>197</v>
      </c>
      <c r="B134" s="719"/>
      <c r="C134" s="719"/>
      <c r="D134" s="719"/>
      <c r="E134" s="720"/>
      <c r="G134" s="292"/>
      <c r="H134" s="292"/>
      <c r="I134" s="292"/>
    </row>
    <row r="135" spans="1:10" ht="15.5">
      <c r="A135" s="220">
        <v>41518</v>
      </c>
      <c r="B135" s="278"/>
      <c r="C135" s="279" t="s">
        <v>101</v>
      </c>
      <c r="D135" s="280"/>
      <c r="E135" s="281"/>
    </row>
    <row r="136" spans="1:10" ht="16" thickBot="1">
      <c r="A136" s="282"/>
      <c r="B136" s="283"/>
      <c r="C136" s="284" t="s">
        <v>21</v>
      </c>
      <c r="D136" s="284" t="s">
        <v>22</v>
      </c>
      <c r="E136" s="285" t="s">
        <v>23</v>
      </c>
    </row>
    <row r="137" spans="1:10" ht="15.5">
      <c r="A137" s="286" t="s">
        <v>24</v>
      </c>
      <c r="B137" s="287">
        <v>101</v>
      </c>
      <c r="C137" s="288">
        <v>2647538</v>
      </c>
      <c r="D137" s="289">
        <v>-2.1900000000000001E-3</v>
      </c>
      <c r="E137" s="290">
        <v>-5798.1082200000001</v>
      </c>
    </row>
    <row r="138" spans="1:10" ht="16" thickBot="1">
      <c r="A138" s="286" t="s">
        <v>24</v>
      </c>
      <c r="B138" s="287">
        <v>111</v>
      </c>
      <c r="C138" s="288">
        <v>1599551</v>
      </c>
      <c r="D138" s="289">
        <v>-2.1900000000000001E-3</v>
      </c>
      <c r="E138" s="290">
        <v>-3503.0166900000004</v>
      </c>
      <c r="G138" s="291">
        <f>A135</f>
        <v>41518</v>
      </c>
      <c r="H138" s="292"/>
      <c r="I138" s="292"/>
      <c r="J138" s="292"/>
    </row>
    <row r="139" spans="1:10" ht="16" thickBot="1">
      <c r="A139" s="286" t="s">
        <v>24</v>
      </c>
      <c r="B139" s="287">
        <v>112</v>
      </c>
      <c r="C139" s="288">
        <v>0</v>
      </c>
      <c r="D139" s="289">
        <v>-2.1900000000000001E-3</v>
      </c>
      <c r="E139" s="290">
        <v>0</v>
      </c>
      <c r="G139" s="293" t="s">
        <v>25</v>
      </c>
      <c r="H139" s="294"/>
      <c r="I139" s="295" t="s">
        <v>18</v>
      </c>
      <c r="J139" s="295" t="s">
        <v>19</v>
      </c>
    </row>
    <row r="140" spans="1:10" ht="15.5">
      <c r="A140" s="286" t="s">
        <v>24</v>
      </c>
      <c r="B140" s="287">
        <v>121</v>
      </c>
      <c r="C140" s="288">
        <v>344046</v>
      </c>
      <c r="D140" s="289">
        <v>-2.1900000000000001E-3</v>
      </c>
      <c r="E140" s="290">
        <v>-753.46073999999999</v>
      </c>
      <c r="G140" s="296" t="s">
        <v>97</v>
      </c>
      <c r="H140" s="297" t="s">
        <v>26</v>
      </c>
      <c r="I140" s="298">
        <f>-E145</f>
        <v>10606.31724</v>
      </c>
      <c r="J140" s="299">
        <v>0</v>
      </c>
    </row>
    <row r="141" spans="1:10" ht="16" thickBot="1">
      <c r="A141" s="286" t="s">
        <v>24</v>
      </c>
      <c r="B141" s="287">
        <v>122</v>
      </c>
      <c r="C141" s="288">
        <v>31388</v>
      </c>
      <c r="D141" s="289">
        <v>-2.1900000000000001E-3</v>
      </c>
      <c r="E141" s="290">
        <v>-68.739720000000005</v>
      </c>
      <c r="G141" s="300" t="s">
        <v>198</v>
      </c>
      <c r="H141" s="301" t="s">
        <v>199</v>
      </c>
      <c r="I141" s="302">
        <v>0</v>
      </c>
      <c r="J141" s="303">
        <f>-I140</f>
        <v>-10606.31724</v>
      </c>
    </row>
    <row r="142" spans="1:10" ht="15.5">
      <c r="A142" s="286" t="s">
        <v>24</v>
      </c>
      <c r="B142" s="287">
        <v>131</v>
      </c>
      <c r="C142" s="288">
        <v>0</v>
      </c>
      <c r="D142" s="289">
        <v>-2.1900000000000001E-3</v>
      </c>
      <c r="E142" s="290">
        <v>0</v>
      </c>
      <c r="G142" s="292"/>
      <c r="H142" s="292"/>
      <c r="I142" s="292"/>
      <c r="J142" s="304">
        <f>SUM(I140:J141)</f>
        <v>0</v>
      </c>
    </row>
    <row r="143" spans="1:10" ht="15.5">
      <c r="A143" s="286" t="s">
        <v>24</v>
      </c>
      <c r="B143" s="287">
        <v>132</v>
      </c>
      <c r="C143" s="288">
        <v>54453</v>
      </c>
      <c r="D143" s="289">
        <v>-2.1900000000000001E-3</v>
      </c>
      <c r="E143" s="290">
        <v>-119.25207</v>
      </c>
    </row>
    <row r="144" spans="1:10" ht="15.5">
      <c r="A144" s="286" t="s">
        <v>24</v>
      </c>
      <c r="B144" s="287">
        <v>146</v>
      </c>
      <c r="C144" s="288">
        <v>1818699</v>
      </c>
      <c r="D144" s="289">
        <v>-2.0000000000000001E-4</v>
      </c>
      <c r="E144" s="305">
        <v>-363.7398</v>
      </c>
    </row>
    <row r="145" spans="1:10" ht="16" thickBot="1">
      <c r="A145" s="286" t="s">
        <v>200</v>
      </c>
      <c r="B145" s="287"/>
      <c r="C145" s="306">
        <f>SUM(C137:C144)</f>
        <v>6495675</v>
      </c>
      <c r="D145" s="307"/>
      <c r="E145" s="308">
        <f>SUM(E137:E144)</f>
        <v>-10606.31724</v>
      </c>
    </row>
    <row r="146" spans="1:10" ht="16" thickTop="1">
      <c r="A146" s="286"/>
      <c r="B146" s="287"/>
      <c r="C146" s="312">
        <v>6495675</v>
      </c>
      <c r="D146" s="307"/>
      <c r="E146" s="308"/>
    </row>
    <row r="147" spans="1:10" ht="15.5">
      <c r="A147" s="286"/>
      <c r="B147" s="287"/>
      <c r="C147" s="309">
        <f>C146-C145</f>
        <v>0</v>
      </c>
      <c r="D147" s="307"/>
      <c r="E147" s="308"/>
    </row>
    <row r="148" spans="1:10" ht="15.5">
      <c r="A148" s="292"/>
      <c r="B148" s="292"/>
      <c r="C148" s="286" t="s">
        <v>1</v>
      </c>
      <c r="D148" s="310">
        <f>EOMONTH(D132,1)</f>
        <v>41547</v>
      </c>
      <c r="E148" s="311">
        <f>E132+E145</f>
        <v>38932.729789999998</v>
      </c>
    </row>
    <row r="149" spans="1:10" ht="15" thickBot="1"/>
    <row r="150" spans="1:10" ht="15.5">
      <c r="A150" s="718" t="s">
        <v>197</v>
      </c>
      <c r="B150" s="719"/>
      <c r="C150" s="719"/>
      <c r="D150" s="719"/>
      <c r="E150" s="720"/>
      <c r="G150" s="292"/>
      <c r="H150" s="292"/>
      <c r="I150" s="292"/>
    </row>
    <row r="151" spans="1:10" ht="15.5">
      <c r="A151" s="220">
        <v>41578</v>
      </c>
      <c r="B151" s="278"/>
      <c r="C151" s="279" t="s">
        <v>101</v>
      </c>
      <c r="D151" s="280"/>
      <c r="E151" s="281"/>
    </row>
    <row r="152" spans="1:10" ht="16" thickBot="1">
      <c r="A152" s="282"/>
      <c r="B152" s="283"/>
      <c r="C152" s="284" t="s">
        <v>21</v>
      </c>
      <c r="D152" s="284" t="s">
        <v>22</v>
      </c>
      <c r="E152" s="285" t="s">
        <v>23</v>
      </c>
    </row>
    <row r="153" spans="1:10" ht="15.5">
      <c r="A153" s="286" t="s">
        <v>24</v>
      </c>
      <c r="B153" s="287">
        <v>101</v>
      </c>
      <c r="C153" s="288">
        <v>9244353</v>
      </c>
      <c r="D153" s="289">
        <v>-2.1900000000000001E-3</v>
      </c>
      <c r="E153" s="290">
        <v>-20245.13307</v>
      </c>
    </row>
    <row r="154" spans="1:10" ht="16" thickBot="1">
      <c r="A154" s="286" t="s">
        <v>24</v>
      </c>
      <c r="B154" s="287">
        <v>111</v>
      </c>
      <c r="C154" s="288">
        <v>3880001</v>
      </c>
      <c r="D154" s="289">
        <v>-2.1900000000000001E-3</v>
      </c>
      <c r="E154" s="290">
        <v>-8497.20219</v>
      </c>
      <c r="G154" s="291">
        <f>A151</f>
        <v>41578</v>
      </c>
      <c r="H154" s="292"/>
      <c r="I154" s="292"/>
      <c r="J154" s="292"/>
    </row>
    <row r="155" spans="1:10" ht="16" thickBot="1">
      <c r="A155" s="286" t="s">
        <v>24</v>
      </c>
      <c r="B155" s="287">
        <v>112</v>
      </c>
      <c r="C155" s="288">
        <v>0</v>
      </c>
      <c r="D155" s="289">
        <v>-2.1900000000000001E-3</v>
      </c>
      <c r="E155" s="290">
        <v>0</v>
      </c>
      <c r="G155" s="293" t="s">
        <v>25</v>
      </c>
      <c r="H155" s="294"/>
      <c r="I155" s="295" t="s">
        <v>18</v>
      </c>
      <c r="J155" s="295" t="s">
        <v>19</v>
      </c>
    </row>
    <row r="156" spans="1:10" ht="15.5">
      <c r="A156" s="286" t="s">
        <v>24</v>
      </c>
      <c r="B156" s="287">
        <v>121</v>
      </c>
      <c r="C156" s="288">
        <v>595792</v>
      </c>
      <c r="D156" s="289">
        <v>-2.1900000000000001E-3</v>
      </c>
      <c r="E156" s="290">
        <v>-1304.78448</v>
      </c>
      <c r="G156" s="296" t="s">
        <v>97</v>
      </c>
      <c r="H156" s="297" t="s">
        <v>26</v>
      </c>
      <c r="I156" s="298">
        <f>-E161</f>
        <v>30792.491249999999</v>
      </c>
      <c r="J156" s="299">
        <v>0</v>
      </c>
    </row>
    <row r="157" spans="1:10" ht="16" thickBot="1">
      <c r="A157" s="286" t="s">
        <v>24</v>
      </c>
      <c r="B157" s="287">
        <v>122</v>
      </c>
      <c r="C157" s="288">
        <v>40500</v>
      </c>
      <c r="D157" s="289">
        <v>-2.1900000000000001E-3</v>
      </c>
      <c r="E157" s="290">
        <v>-88.695000000000007</v>
      </c>
      <c r="G157" s="300" t="s">
        <v>198</v>
      </c>
      <c r="H157" s="301" t="s">
        <v>199</v>
      </c>
      <c r="I157" s="302">
        <v>0</v>
      </c>
      <c r="J157" s="303">
        <f>-I156</f>
        <v>-30792.491249999999</v>
      </c>
    </row>
    <row r="158" spans="1:10" ht="15.5">
      <c r="A158" s="286" t="s">
        <v>24</v>
      </c>
      <c r="B158" s="287">
        <v>131</v>
      </c>
      <c r="C158" s="288">
        <v>0</v>
      </c>
      <c r="D158" s="289">
        <v>-2.1900000000000001E-3</v>
      </c>
      <c r="E158" s="290">
        <v>0</v>
      </c>
      <c r="G158" s="292"/>
      <c r="H158" s="292"/>
      <c r="I158" s="292"/>
      <c r="J158" s="304">
        <f>SUM(I156:J157)</f>
        <v>0</v>
      </c>
    </row>
    <row r="159" spans="1:10" ht="15.5">
      <c r="A159" s="286" t="s">
        <v>24</v>
      </c>
      <c r="B159" s="287">
        <v>132</v>
      </c>
      <c r="C159" s="288">
        <v>68629</v>
      </c>
      <c r="D159" s="289">
        <v>-2.1900000000000001E-3</v>
      </c>
      <c r="E159" s="290">
        <v>-150.29751000000002</v>
      </c>
    </row>
    <row r="160" spans="1:10" ht="15.5">
      <c r="A160" s="286" t="s">
        <v>24</v>
      </c>
      <c r="B160" s="287">
        <v>146</v>
      </c>
      <c r="C160" s="288">
        <v>2531895</v>
      </c>
      <c r="D160" s="289">
        <v>-2.0000000000000001E-4</v>
      </c>
      <c r="E160" s="305">
        <v>-506.37900000000002</v>
      </c>
    </row>
    <row r="161" spans="1:10" ht="16" thickBot="1">
      <c r="A161" s="286" t="s">
        <v>200</v>
      </c>
      <c r="B161" s="287"/>
      <c r="C161" s="306">
        <f>SUM(C153:C160)</f>
        <v>16361170</v>
      </c>
      <c r="D161" s="307"/>
      <c r="E161" s="308">
        <f>SUM(E153:E160)</f>
        <v>-30792.491249999999</v>
      </c>
    </row>
    <row r="162" spans="1:10" ht="16" thickTop="1">
      <c r="A162" s="286"/>
      <c r="B162" s="287"/>
      <c r="C162" s="312">
        <v>16361170</v>
      </c>
      <c r="D162" s="307"/>
      <c r="E162" s="308"/>
    </row>
    <row r="163" spans="1:10" ht="15.5">
      <c r="A163" s="286"/>
      <c r="B163" s="287"/>
      <c r="C163" s="309">
        <f>C162-C161</f>
        <v>0</v>
      </c>
      <c r="D163" s="307"/>
      <c r="E163" s="308"/>
    </row>
    <row r="164" spans="1:10" ht="15.5">
      <c r="A164" s="292"/>
      <c r="B164" s="292"/>
      <c r="C164" s="286" t="s">
        <v>1</v>
      </c>
      <c r="D164" s="310">
        <f>EOMONTH(D148,1)</f>
        <v>41578</v>
      </c>
      <c r="E164" s="311">
        <f>E148+E161</f>
        <v>8140.2385399999985</v>
      </c>
    </row>
    <row r="165" spans="1:10" ht="15" thickBot="1"/>
    <row r="166" spans="1:10" ht="15.5">
      <c r="A166" s="718" t="s">
        <v>197</v>
      </c>
      <c r="B166" s="719"/>
      <c r="C166" s="719"/>
      <c r="D166" s="719"/>
      <c r="E166" s="720"/>
      <c r="G166" s="292"/>
      <c r="H166" s="292"/>
      <c r="I166" s="292"/>
    </row>
    <row r="167" spans="1:10" ht="15.5">
      <c r="A167" s="220">
        <f>EOMONTH(A151,1)</f>
        <v>41608</v>
      </c>
      <c r="B167" s="278"/>
      <c r="C167" s="279" t="s">
        <v>101</v>
      </c>
      <c r="D167" s="280"/>
      <c r="E167" s="281"/>
    </row>
    <row r="168" spans="1:10" ht="16" thickBot="1">
      <c r="A168" s="282"/>
      <c r="B168" s="283"/>
      <c r="C168" s="284" t="s">
        <v>21</v>
      </c>
      <c r="D168" s="284" t="s">
        <v>22</v>
      </c>
      <c r="E168" s="285" t="s">
        <v>23</v>
      </c>
    </row>
    <row r="169" spans="1:10" ht="15.5">
      <c r="A169" s="286" t="s">
        <v>24</v>
      </c>
      <c r="B169" s="287">
        <v>101</v>
      </c>
      <c r="C169" s="288">
        <v>15070678</v>
      </c>
      <c r="D169" s="289" t="s">
        <v>188</v>
      </c>
      <c r="E169" s="290">
        <v>0</v>
      </c>
    </row>
    <row r="170" spans="1:10" ht="16" thickBot="1">
      <c r="A170" s="286" t="s">
        <v>24</v>
      </c>
      <c r="B170" s="287">
        <v>111</v>
      </c>
      <c r="C170" s="288">
        <v>5651303</v>
      </c>
      <c r="D170" s="289" t="s">
        <v>188</v>
      </c>
      <c r="E170" s="290">
        <v>0</v>
      </c>
      <c r="G170" s="291">
        <f>A167</f>
        <v>41608</v>
      </c>
      <c r="H170" s="292"/>
      <c r="I170" s="292"/>
      <c r="J170" s="292"/>
    </row>
    <row r="171" spans="1:10" ht="16" thickBot="1">
      <c r="A171" s="286" t="s">
        <v>24</v>
      </c>
      <c r="B171" s="287">
        <v>112</v>
      </c>
      <c r="C171" s="288">
        <v>0</v>
      </c>
      <c r="D171" s="289" t="s">
        <v>188</v>
      </c>
      <c r="E171" s="290">
        <v>0</v>
      </c>
      <c r="G171" s="293" t="s">
        <v>25</v>
      </c>
      <c r="H171" s="294"/>
      <c r="I171" s="295" t="s">
        <v>18</v>
      </c>
      <c r="J171" s="295" t="s">
        <v>19</v>
      </c>
    </row>
    <row r="172" spans="1:10" ht="15.5">
      <c r="A172" s="286" t="s">
        <v>24</v>
      </c>
      <c r="B172" s="287">
        <v>121</v>
      </c>
      <c r="C172" s="288">
        <v>396185</v>
      </c>
      <c r="D172" s="289" t="s">
        <v>188</v>
      </c>
      <c r="E172" s="290">
        <v>0</v>
      </c>
      <c r="G172" s="296" t="s">
        <v>97</v>
      </c>
      <c r="H172" s="297" t="s">
        <v>26</v>
      </c>
      <c r="I172" s="298">
        <f>-E177</f>
        <v>8833.92</v>
      </c>
      <c r="J172" s="299">
        <v>0</v>
      </c>
    </row>
    <row r="173" spans="1:10" ht="16" thickBot="1">
      <c r="A173" s="286" t="s">
        <v>24</v>
      </c>
      <c r="B173" s="287">
        <v>122</v>
      </c>
      <c r="C173" s="288">
        <v>51667</v>
      </c>
      <c r="D173" s="289" t="s">
        <v>188</v>
      </c>
      <c r="E173" s="290">
        <v>0</v>
      </c>
      <c r="G173" s="300" t="s">
        <v>198</v>
      </c>
      <c r="H173" s="301" t="s">
        <v>199</v>
      </c>
      <c r="I173" s="302">
        <v>0</v>
      </c>
      <c r="J173" s="303">
        <f>-I172</f>
        <v>-8833.92</v>
      </c>
    </row>
    <row r="174" spans="1:10" ht="15.5">
      <c r="A174" s="286" t="s">
        <v>24</v>
      </c>
      <c r="B174" s="287">
        <v>131</v>
      </c>
      <c r="C174" s="288">
        <v>0</v>
      </c>
      <c r="D174" s="289" t="s">
        <v>188</v>
      </c>
      <c r="E174" s="290">
        <v>0</v>
      </c>
      <c r="G174" s="292"/>
      <c r="H174" s="292"/>
      <c r="I174" s="292"/>
      <c r="J174" s="304">
        <f>SUM(I172:J173)</f>
        <v>0</v>
      </c>
    </row>
    <row r="175" spans="1:10" ht="15.5">
      <c r="A175" s="286" t="s">
        <v>24</v>
      </c>
      <c r="B175" s="287">
        <v>132</v>
      </c>
      <c r="C175" s="288">
        <v>142001</v>
      </c>
      <c r="D175" s="289" t="s">
        <v>188</v>
      </c>
      <c r="E175" s="290">
        <v>0</v>
      </c>
    </row>
    <row r="176" spans="1:10" ht="15.5">
      <c r="A176" s="286" t="s">
        <v>24</v>
      </c>
      <c r="B176" s="287">
        <v>146</v>
      </c>
      <c r="C176" s="288">
        <v>2936207</v>
      </c>
      <c r="D176" s="289" t="s">
        <v>188</v>
      </c>
      <c r="E176" s="305">
        <v>0</v>
      </c>
    </row>
    <row r="177" spans="1:10" ht="16" thickBot="1">
      <c r="A177" s="286" t="s">
        <v>200</v>
      </c>
      <c r="B177" s="287"/>
      <c r="C177" s="306">
        <f>SUM(C169:C176)</f>
        <v>24248041</v>
      </c>
      <c r="D177" s="307"/>
      <c r="E177" s="308">
        <v>-8833.92</v>
      </c>
    </row>
    <row r="178" spans="1:10" ht="16" thickTop="1">
      <c r="A178" s="286"/>
      <c r="B178" s="287"/>
      <c r="C178" s="312">
        <v>24248041</v>
      </c>
      <c r="D178" s="307"/>
      <c r="E178" s="308"/>
    </row>
    <row r="179" spans="1:10" ht="15.5">
      <c r="A179" s="286"/>
      <c r="B179" s="287"/>
      <c r="C179" s="309">
        <f>C178-C177</f>
        <v>0</v>
      </c>
      <c r="D179" s="307"/>
      <c r="E179" s="308"/>
    </row>
    <row r="180" spans="1:10" ht="15.5">
      <c r="A180" s="292"/>
      <c r="B180" s="292"/>
      <c r="C180" s="286" t="s">
        <v>1</v>
      </c>
      <c r="D180" s="310">
        <f>EOMONTH(D164,1)</f>
        <v>41608</v>
      </c>
      <c r="E180" s="311">
        <f>E164+E177</f>
        <v>-693.68146000000161</v>
      </c>
    </row>
    <row r="181" spans="1:10" ht="15" thickBot="1"/>
    <row r="182" spans="1:10" ht="15.5">
      <c r="A182" s="718" t="s">
        <v>197</v>
      </c>
      <c r="B182" s="719"/>
      <c r="C182" s="719"/>
      <c r="D182" s="719"/>
      <c r="E182" s="720"/>
      <c r="G182" s="292"/>
      <c r="H182" s="292"/>
      <c r="I182" s="292"/>
    </row>
    <row r="183" spans="1:10" ht="15.5">
      <c r="A183" s="220">
        <f>EOMONTH(A167,1)</f>
        <v>41639</v>
      </c>
      <c r="B183" s="278"/>
      <c r="C183" s="279" t="s">
        <v>101</v>
      </c>
      <c r="D183" s="280"/>
      <c r="E183" s="281"/>
    </row>
    <row r="184" spans="1:10" ht="16" thickBot="1">
      <c r="A184" s="282"/>
      <c r="B184" s="283"/>
      <c r="C184" s="284" t="s">
        <v>21</v>
      </c>
      <c r="D184" s="284" t="s">
        <v>22</v>
      </c>
      <c r="E184" s="285" t="s">
        <v>23</v>
      </c>
    </row>
    <row r="185" spans="1:10" ht="15.5">
      <c r="A185" s="286" t="s">
        <v>24</v>
      </c>
      <c r="B185" s="287">
        <v>101</v>
      </c>
      <c r="C185" s="288">
        <f>Jan!$G$23</f>
        <v>19909674</v>
      </c>
      <c r="D185" s="289" t="s">
        <v>188</v>
      </c>
      <c r="E185" s="290">
        <v>0</v>
      </c>
    </row>
    <row r="186" spans="1:10" ht="16" thickBot="1">
      <c r="A186" s="286" t="s">
        <v>24</v>
      </c>
      <c r="B186" s="287">
        <v>111</v>
      </c>
      <c r="C186" s="288">
        <f>Jan!$G$24</f>
        <v>6173752</v>
      </c>
      <c r="D186" s="289" t="s">
        <v>188</v>
      </c>
      <c r="E186" s="290">
        <v>0</v>
      </c>
      <c r="G186" s="291">
        <f>A183</f>
        <v>41639</v>
      </c>
      <c r="H186" s="292"/>
      <c r="I186" s="292"/>
      <c r="J186" s="292"/>
    </row>
    <row r="187" spans="1:10" ht="16" thickBot="1">
      <c r="A187" s="286" t="s">
        <v>24</v>
      </c>
      <c r="B187" s="287">
        <v>112</v>
      </c>
      <c r="C187" s="288">
        <f>Jan!$G$25</f>
        <v>0</v>
      </c>
      <c r="D187" s="289" t="s">
        <v>188</v>
      </c>
      <c r="E187" s="290">
        <v>0</v>
      </c>
      <c r="G187" s="293" t="s">
        <v>25</v>
      </c>
      <c r="H187" s="294"/>
      <c r="I187" s="295" t="s">
        <v>18</v>
      </c>
      <c r="J187" s="295" t="s">
        <v>19</v>
      </c>
    </row>
    <row r="188" spans="1:10" ht="15.5">
      <c r="A188" s="286" t="s">
        <v>24</v>
      </c>
      <c r="B188" s="287">
        <v>121</v>
      </c>
      <c r="C188" s="288">
        <f>Jan!$G$26</f>
        <v>513680</v>
      </c>
      <c r="D188" s="289" t="s">
        <v>188</v>
      </c>
      <c r="E188" s="290">
        <v>0</v>
      </c>
      <c r="G188" s="296" t="s">
        <v>97</v>
      </c>
      <c r="H188" s="297" t="s">
        <v>26</v>
      </c>
      <c r="I188" s="298">
        <f>-E193</f>
        <v>13002.04</v>
      </c>
      <c r="J188" s="299">
        <v>0</v>
      </c>
    </row>
    <row r="189" spans="1:10" ht="16" thickBot="1">
      <c r="A189" s="286" t="s">
        <v>24</v>
      </c>
      <c r="B189" s="287">
        <v>122</v>
      </c>
      <c r="C189" s="288">
        <f>Jan!$G$27</f>
        <v>81674</v>
      </c>
      <c r="D189" s="289" t="s">
        <v>188</v>
      </c>
      <c r="E189" s="290">
        <v>0</v>
      </c>
      <c r="G189" s="300" t="s">
        <v>198</v>
      </c>
      <c r="H189" s="301" t="s">
        <v>199</v>
      </c>
      <c r="I189" s="302">
        <v>0</v>
      </c>
      <c r="J189" s="303">
        <f>-I188</f>
        <v>-13002.04</v>
      </c>
    </row>
    <row r="190" spans="1:10" ht="15.5">
      <c r="A190" s="286" t="s">
        <v>24</v>
      </c>
      <c r="B190" s="287">
        <v>131</v>
      </c>
      <c r="C190" s="288">
        <f>Jan!$G$28</f>
        <v>0</v>
      </c>
      <c r="D190" s="289" t="s">
        <v>188</v>
      </c>
      <c r="E190" s="290">
        <v>0</v>
      </c>
      <c r="G190" s="292"/>
      <c r="H190" s="292"/>
      <c r="I190" s="292"/>
      <c r="J190" s="304">
        <f>SUM(I188:J189)</f>
        <v>0</v>
      </c>
    </row>
    <row r="191" spans="1:10" ht="15.5">
      <c r="A191" s="286" t="s">
        <v>24</v>
      </c>
      <c r="B191" s="287">
        <v>132</v>
      </c>
      <c r="C191" s="288">
        <f>Jan!$G$29</f>
        <v>129251</v>
      </c>
      <c r="D191" s="289" t="s">
        <v>188</v>
      </c>
      <c r="E191" s="290">
        <v>0</v>
      </c>
    </row>
    <row r="192" spans="1:10" ht="15.5">
      <c r="A192" s="286" t="s">
        <v>24</v>
      </c>
      <c r="B192" s="287">
        <v>146</v>
      </c>
      <c r="C192" s="288">
        <f>Jan!$G$30</f>
        <v>3286166</v>
      </c>
      <c r="D192" s="289" t="s">
        <v>188</v>
      </c>
      <c r="E192" s="305">
        <v>0</v>
      </c>
    </row>
    <row r="193" spans="1:9" ht="16" thickBot="1">
      <c r="A193" s="286" t="s">
        <v>200</v>
      </c>
      <c r="B193" s="287"/>
      <c r="C193" s="306">
        <f>SUM(C185:C192)</f>
        <v>30094197</v>
      </c>
      <c r="D193" s="307"/>
      <c r="E193" s="308">
        <v>-13002.04</v>
      </c>
    </row>
    <row r="194" spans="1:9" ht="16" thickTop="1">
      <c r="A194" s="286"/>
      <c r="B194" s="287"/>
      <c r="C194" s="312">
        <v>34635509</v>
      </c>
      <c r="D194" s="307"/>
      <c r="E194" s="308"/>
    </row>
    <row r="195" spans="1:9" ht="15.5">
      <c r="A195" s="286"/>
      <c r="B195" s="287"/>
      <c r="C195" s="309">
        <f>C194-C193</f>
        <v>4541312</v>
      </c>
      <c r="D195" s="307"/>
      <c r="E195" s="308"/>
    </row>
    <row r="196" spans="1:9" ht="15.5">
      <c r="C196" s="286" t="s">
        <v>1</v>
      </c>
      <c r="D196" s="310">
        <f>EOMONTH(D180,1)</f>
        <v>41639</v>
      </c>
      <c r="E196" s="311">
        <f>E180+E193</f>
        <v>-13695.721460000002</v>
      </c>
      <c r="G196" s="477" t="s">
        <v>246</v>
      </c>
      <c r="H196" s="478" t="e">
        <f ca="1">_xll.Get_Balance(I196,"YTD","USD","Total","A","","001","191025","GD","WA","DL")-E196</f>
        <v>#NAME?</v>
      </c>
      <c r="I196" s="479">
        <v>201312</v>
      </c>
    </row>
  </sheetData>
  <mergeCells count="12">
    <mergeCell ref="A182:E182"/>
    <mergeCell ref="A166:E166"/>
    <mergeCell ref="A6:E6"/>
    <mergeCell ref="A22:E22"/>
    <mergeCell ref="A38:E38"/>
    <mergeCell ref="A54:E54"/>
    <mergeCell ref="A70:E70"/>
    <mergeCell ref="A150:E150"/>
    <mergeCell ref="A134:E134"/>
    <mergeCell ref="A118:E118"/>
    <mergeCell ref="A102:E102"/>
    <mergeCell ref="A86:E86"/>
  </mergeCells>
  <conditionalFormatting sqref="J14">
    <cfRule type="cellIs" dxfId="103" priority="35" stopIfTrue="1" operator="equal">
      <formula>0</formula>
    </cfRule>
    <cfRule type="cellIs" dxfId="102" priority="36" stopIfTrue="1" operator="notEqual">
      <formula>0</formula>
    </cfRule>
  </conditionalFormatting>
  <conditionalFormatting sqref="C19">
    <cfRule type="cellIs" dxfId="101" priority="34" operator="notEqual">
      <formula>0</formula>
    </cfRule>
  </conditionalFormatting>
  <conditionalFormatting sqref="J30">
    <cfRule type="cellIs" dxfId="100" priority="32" stopIfTrue="1" operator="equal">
      <formula>0</formula>
    </cfRule>
    <cfRule type="cellIs" dxfId="99" priority="33" stopIfTrue="1" operator="notEqual">
      <formula>0</formula>
    </cfRule>
  </conditionalFormatting>
  <conditionalFormatting sqref="C35">
    <cfRule type="cellIs" dxfId="98" priority="31" operator="notEqual">
      <formula>0</formula>
    </cfRule>
  </conditionalFormatting>
  <conditionalFormatting sqref="J46">
    <cfRule type="cellIs" dxfId="97" priority="29" stopIfTrue="1" operator="equal">
      <formula>0</formula>
    </cfRule>
    <cfRule type="cellIs" dxfId="96" priority="30" stopIfTrue="1" operator="notEqual">
      <formula>0</formula>
    </cfRule>
  </conditionalFormatting>
  <conditionalFormatting sqref="C51">
    <cfRule type="cellIs" dxfId="95" priority="28" operator="notEqual">
      <formula>0</formula>
    </cfRule>
  </conditionalFormatting>
  <conditionalFormatting sqref="J62">
    <cfRule type="cellIs" dxfId="94" priority="26" stopIfTrue="1" operator="equal">
      <formula>0</formula>
    </cfRule>
    <cfRule type="cellIs" dxfId="93" priority="27" stopIfTrue="1" operator="notEqual">
      <formula>0</formula>
    </cfRule>
  </conditionalFormatting>
  <conditionalFormatting sqref="C67">
    <cfRule type="cellIs" dxfId="92" priority="25" operator="notEqual">
      <formula>0</formula>
    </cfRule>
  </conditionalFormatting>
  <conditionalFormatting sqref="J78">
    <cfRule type="cellIs" dxfId="91" priority="23" stopIfTrue="1" operator="equal">
      <formula>0</formula>
    </cfRule>
    <cfRule type="cellIs" dxfId="90" priority="24" stopIfTrue="1" operator="notEqual">
      <formula>0</formula>
    </cfRule>
  </conditionalFormatting>
  <conditionalFormatting sqref="C83">
    <cfRule type="cellIs" dxfId="89" priority="22" operator="notEqual">
      <formula>0</formula>
    </cfRule>
  </conditionalFormatting>
  <conditionalFormatting sqref="J94">
    <cfRule type="cellIs" dxfId="88" priority="20" stopIfTrue="1" operator="equal">
      <formula>0</formula>
    </cfRule>
    <cfRule type="cellIs" dxfId="87" priority="21" stopIfTrue="1" operator="notEqual">
      <formula>0</formula>
    </cfRule>
  </conditionalFormatting>
  <conditionalFormatting sqref="C99">
    <cfRule type="cellIs" dxfId="86" priority="19" operator="notEqual">
      <formula>0</formula>
    </cfRule>
  </conditionalFormatting>
  <conditionalFormatting sqref="J110">
    <cfRule type="cellIs" dxfId="85" priority="17" stopIfTrue="1" operator="equal">
      <formula>0</formula>
    </cfRule>
    <cfRule type="cellIs" dxfId="84" priority="18" stopIfTrue="1" operator="notEqual">
      <formula>0</formula>
    </cfRule>
  </conditionalFormatting>
  <conditionalFormatting sqref="C115">
    <cfRule type="cellIs" dxfId="83" priority="16" operator="notEqual">
      <formula>0</formula>
    </cfRule>
  </conditionalFormatting>
  <conditionalFormatting sqref="J126">
    <cfRule type="cellIs" dxfId="82" priority="14" stopIfTrue="1" operator="equal">
      <formula>0</formula>
    </cfRule>
    <cfRule type="cellIs" dxfId="81" priority="15" stopIfTrue="1" operator="notEqual">
      <formula>0</formula>
    </cfRule>
  </conditionalFormatting>
  <conditionalFormatting sqref="C131">
    <cfRule type="cellIs" dxfId="80" priority="13" operator="notEqual">
      <formula>0</formula>
    </cfRule>
  </conditionalFormatting>
  <conditionalFormatting sqref="J142">
    <cfRule type="cellIs" dxfId="79" priority="11" stopIfTrue="1" operator="equal">
      <formula>0</formula>
    </cfRule>
    <cfRule type="cellIs" dxfId="78" priority="12" stopIfTrue="1" operator="notEqual">
      <formula>0</formula>
    </cfRule>
  </conditionalFormatting>
  <conditionalFormatting sqref="C147">
    <cfRule type="cellIs" dxfId="77" priority="10" operator="notEqual">
      <formula>0</formula>
    </cfRule>
  </conditionalFormatting>
  <conditionalFormatting sqref="J158">
    <cfRule type="cellIs" dxfId="76" priority="8" stopIfTrue="1" operator="equal">
      <formula>0</formula>
    </cfRule>
    <cfRule type="cellIs" dxfId="75" priority="9" stopIfTrue="1" operator="notEqual">
      <formula>0</formula>
    </cfRule>
  </conditionalFormatting>
  <conditionalFormatting sqref="C163">
    <cfRule type="cellIs" dxfId="74" priority="7" operator="notEqual">
      <formula>0</formula>
    </cfRule>
  </conditionalFormatting>
  <conditionalFormatting sqref="J174">
    <cfRule type="cellIs" dxfId="73" priority="5" stopIfTrue="1" operator="equal">
      <formula>0</formula>
    </cfRule>
    <cfRule type="cellIs" dxfId="72" priority="6" stopIfTrue="1" operator="notEqual">
      <formula>0</formula>
    </cfRule>
  </conditionalFormatting>
  <conditionalFormatting sqref="C179">
    <cfRule type="cellIs" dxfId="71" priority="4" operator="notEqual">
      <formula>0</formula>
    </cfRule>
  </conditionalFormatting>
  <conditionalFormatting sqref="J190">
    <cfRule type="cellIs" dxfId="70" priority="2" stopIfTrue="1" operator="equal">
      <formula>0</formula>
    </cfRule>
    <cfRule type="cellIs" dxfId="69" priority="3" stopIfTrue="1" operator="notEqual">
      <formula>0</formula>
    </cfRule>
  </conditionalFormatting>
  <conditionalFormatting sqref="C195">
    <cfRule type="cellIs" dxfId="68" priority="1" operator="notEqual">
      <formula>0</formula>
    </cfRule>
  </conditionalFormatting>
  <pageMargins left="0.7" right="0.7" top="0.75" bottom="0.75" header="0.3" footer="0.3"/>
  <pageSetup scale="3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43">
    <tabColor rgb="FF92D050"/>
  </sheetPr>
  <dimension ref="A1:J309"/>
  <sheetViews>
    <sheetView showGridLines="0" view="pageBreakPreview" topLeftCell="A261" zoomScale="85" zoomScaleNormal="80" zoomScaleSheetLayoutView="85" workbookViewId="0">
      <selection activeCell="E297" sqref="E297"/>
    </sheetView>
  </sheetViews>
  <sheetFormatPr defaultColWidth="9.09765625" defaultRowHeight="15.5"/>
  <cols>
    <col min="1" max="1" width="12.3984375" style="1" customWidth="1"/>
    <col min="2" max="2" width="9.3984375" style="1" bestFit="1" customWidth="1"/>
    <col min="3" max="3" width="17" style="1" customWidth="1"/>
    <col min="4" max="4" width="25.69921875" style="1" customWidth="1"/>
    <col min="5" max="5" width="21.8984375" style="1" bestFit="1" customWidth="1"/>
    <col min="6" max="6" width="16.296875" style="1" bestFit="1" customWidth="1"/>
    <col min="7" max="7" width="32.3984375" style="1" customWidth="1"/>
    <col min="8" max="8" width="19.296875" style="1" customWidth="1"/>
    <col min="9" max="9" width="20.3984375" style="1" customWidth="1"/>
    <col min="10" max="10" width="19.59765625" style="1" customWidth="1"/>
    <col min="11" max="11" width="3.3984375" style="1" customWidth="1"/>
    <col min="12" max="16384" width="9.09765625" style="1"/>
  </cols>
  <sheetData>
    <row r="1" spans="1:10">
      <c r="A1" s="51" t="s">
        <v>13</v>
      </c>
    </row>
    <row r="2" spans="1:10">
      <c r="A2" s="51" t="s">
        <v>0</v>
      </c>
    </row>
    <row r="3" spans="1:10">
      <c r="A3" s="51" t="s">
        <v>172</v>
      </c>
    </row>
    <row r="4" spans="1:10">
      <c r="A4" s="51" t="s">
        <v>171</v>
      </c>
    </row>
    <row r="6" spans="1:10">
      <c r="B6" s="17"/>
      <c r="C6" s="2"/>
      <c r="D6" s="3"/>
      <c r="E6" s="4"/>
    </row>
    <row r="7" spans="1:10" s="333" customFormat="1" hidden="1">
      <c r="A7" s="335"/>
      <c r="B7" s="335"/>
      <c r="C7" s="50" t="s">
        <v>1</v>
      </c>
      <c r="D7" s="90">
        <v>41213</v>
      </c>
      <c r="E7" s="50">
        <v>2351759.8593735616</v>
      </c>
      <c r="F7" s="335"/>
      <c r="G7" s="248"/>
    </row>
    <row r="8" spans="1:10" s="386" customFormat="1" hidden="1">
      <c r="A8" s="387"/>
      <c r="B8" s="387"/>
      <c r="C8" s="50"/>
      <c r="D8" s="90"/>
      <c r="E8" s="50"/>
      <c r="F8" s="387"/>
      <c r="G8" s="248"/>
    </row>
    <row r="9" spans="1:10" s="203" customFormat="1" hidden="1">
      <c r="D9" s="261" t="s">
        <v>214</v>
      </c>
      <c r="E9" s="161">
        <f>'WA Def 191010'!R14</f>
        <v>-7340824.0093394704</v>
      </c>
    </row>
    <row r="10" spans="1:10" s="203" customFormat="1" ht="16" hidden="1" thickBot="1">
      <c r="D10" s="261" t="s">
        <v>212</v>
      </c>
      <c r="E10" s="392">
        <f>E9+E7</f>
        <v>-4989064.1499659084</v>
      </c>
    </row>
    <row r="11" spans="1:10" s="386" customFormat="1" ht="16.5" hidden="1" thickTop="1" thickBot="1"/>
    <row r="12" spans="1:10" s="386" customFormat="1" hidden="1">
      <c r="A12" s="73" t="s">
        <v>141</v>
      </c>
      <c r="B12" s="78"/>
      <c r="C12" s="79"/>
      <c r="D12" s="80"/>
      <c r="E12" s="81"/>
      <c r="G12" s="5"/>
      <c r="H12" s="5"/>
      <c r="I12" s="48"/>
      <c r="J12" s="48"/>
    </row>
    <row r="13" spans="1:10" s="386" customFormat="1" hidden="1">
      <c r="A13" s="220">
        <v>41243</v>
      </c>
      <c r="B13" s="137"/>
      <c r="C13" s="11"/>
      <c r="D13" s="138"/>
      <c r="E13" s="77"/>
      <c r="G13" s="5"/>
      <c r="H13" s="5"/>
      <c r="I13" s="48"/>
      <c r="J13" s="48"/>
    </row>
    <row r="14" spans="1:10" s="386" customFormat="1" ht="16" hidden="1" thickBot="1">
      <c r="A14" s="139"/>
      <c r="B14" s="140"/>
      <c r="C14" s="131" t="s">
        <v>21</v>
      </c>
      <c r="D14" s="131" t="s">
        <v>22</v>
      </c>
      <c r="E14" s="128" t="s">
        <v>23</v>
      </c>
      <c r="F14" s="387"/>
      <c r="G14" s="387"/>
      <c r="H14" s="387"/>
      <c r="I14" s="387"/>
      <c r="J14" s="387"/>
    </row>
    <row r="15" spans="1:10" s="386" customFormat="1" hidden="1">
      <c r="A15" s="50" t="s">
        <v>24</v>
      </c>
      <c r="B15" s="95">
        <v>101</v>
      </c>
      <c r="C15" s="207">
        <v>12694976</v>
      </c>
      <c r="D15" s="391">
        <v>3.3950000000000001E-2</v>
      </c>
      <c r="E15" s="169">
        <v>427531.76</v>
      </c>
      <c r="F15" s="387" t="s">
        <v>188</v>
      </c>
      <c r="G15" s="387"/>
      <c r="H15" s="387"/>
      <c r="I15" s="387"/>
      <c r="J15" s="387"/>
    </row>
    <row r="16" spans="1:10" s="386" customFormat="1" ht="16" hidden="1" thickBot="1">
      <c r="A16" s="50" t="s">
        <v>24</v>
      </c>
      <c r="B16" s="95">
        <v>111</v>
      </c>
      <c r="C16" s="207">
        <v>4637935</v>
      </c>
      <c r="D16" s="391">
        <v>3.0599999999999999E-2</v>
      </c>
      <c r="E16" s="169">
        <v>143027.17000000001</v>
      </c>
      <c r="F16" s="387" t="s">
        <v>188</v>
      </c>
      <c r="G16" s="123">
        <f>A13</f>
        <v>41243</v>
      </c>
      <c r="H16" s="387"/>
      <c r="I16" s="387"/>
      <c r="J16" s="387"/>
    </row>
    <row r="17" spans="1:10" s="386" customFormat="1" ht="16" hidden="1" thickBot="1">
      <c r="A17" s="50" t="s">
        <v>24</v>
      </c>
      <c r="B17" s="95">
        <v>112</v>
      </c>
      <c r="C17" s="207">
        <v>0</v>
      </c>
      <c r="D17" s="391"/>
      <c r="E17" s="169">
        <v>0</v>
      </c>
      <c r="F17" s="387" t="s">
        <v>188</v>
      </c>
      <c r="G17" s="113" t="s">
        <v>25</v>
      </c>
      <c r="H17" s="206"/>
      <c r="I17" s="126" t="s">
        <v>18</v>
      </c>
      <c r="J17" s="126" t="s">
        <v>19</v>
      </c>
    </row>
    <row r="18" spans="1:10" s="386" customFormat="1" hidden="1">
      <c r="A18" s="50" t="s">
        <v>24</v>
      </c>
      <c r="B18" s="95">
        <v>121</v>
      </c>
      <c r="C18" s="207">
        <v>347215</v>
      </c>
      <c r="D18" s="391">
        <v>2.998E-2</v>
      </c>
      <c r="E18" s="169">
        <v>11613.6</v>
      </c>
      <c r="F18" s="387" t="s">
        <v>188</v>
      </c>
      <c r="G18" s="151" t="s">
        <v>28</v>
      </c>
      <c r="H18" s="152" t="s">
        <v>75</v>
      </c>
      <c r="I18" s="152"/>
      <c r="J18" s="97">
        <v>0</v>
      </c>
    </row>
    <row r="19" spans="1:10" s="386" customFormat="1" hidden="1">
      <c r="A19" s="50" t="s">
        <v>24</v>
      </c>
      <c r="B19" s="95">
        <v>122</v>
      </c>
      <c r="C19" s="207">
        <v>0</v>
      </c>
      <c r="D19" s="391"/>
      <c r="E19" s="169">
        <v>0</v>
      </c>
      <c r="F19" s="387" t="s">
        <v>188</v>
      </c>
      <c r="G19" s="153" t="s">
        <v>29</v>
      </c>
      <c r="H19" s="7" t="s">
        <v>76</v>
      </c>
      <c r="I19" s="7">
        <v>12723.82</v>
      </c>
      <c r="J19" s="224"/>
    </row>
    <row r="20" spans="1:10" s="386" customFormat="1" hidden="1">
      <c r="A20" s="50" t="s">
        <v>24</v>
      </c>
      <c r="B20" s="95">
        <v>131</v>
      </c>
      <c r="C20" s="207">
        <v>0</v>
      </c>
      <c r="D20" s="391">
        <v>5.7389999999999997E-2</v>
      </c>
      <c r="E20" s="169">
        <v>0</v>
      </c>
      <c r="F20" s="387" t="s">
        <v>188</v>
      </c>
      <c r="G20" s="153" t="s">
        <v>97</v>
      </c>
      <c r="H20" s="7" t="s">
        <v>26</v>
      </c>
      <c r="I20" s="8"/>
      <c r="J20" s="98">
        <v>-582079.61</v>
      </c>
    </row>
    <row r="21" spans="1:10" s="386" customFormat="1" hidden="1">
      <c r="A21" s="50" t="s">
        <v>24</v>
      </c>
      <c r="B21" s="95">
        <v>132</v>
      </c>
      <c r="C21" s="207">
        <v>0</v>
      </c>
      <c r="D21" s="391"/>
      <c r="E21" s="169">
        <v>0</v>
      </c>
      <c r="F21" s="387" t="s">
        <v>188</v>
      </c>
      <c r="G21" s="153" t="s">
        <v>10</v>
      </c>
      <c r="H21" s="7" t="s">
        <v>17</v>
      </c>
      <c r="I21" s="7">
        <v>0</v>
      </c>
      <c r="J21" s="98"/>
    </row>
    <row r="22" spans="1:10" s="386" customFormat="1" ht="16" hidden="1" thickBot="1">
      <c r="A22" s="50" t="s">
        <v>24</v>
      </c>
      <c r="B22" s="95">
        <v>146</v>
      </c>
      <c r="C22" s="207">
        <v>2701032</v>
      </c>
      <c r="D22" s="239"/>
      <c r="E22" s="169">
        <v>0</v>
      </c>
      <c r="F22" s="387" t="s">
        <v>188</v>
      </c>
      <c r="G22" s="154" t="s">
        <v>98</v>
      </c>
      <c r="H22" s="147" t="s">
        <v>27</v>
      </c>
      <c r="I22" s="110">
        <v>569355.79</v>
      </c>
      <c r="J22" s="107"/>
    </row>
    <row r="23" spans="1:10" s="386" customFormat="1" hidden="1">
      <c r="A23" s="50" t="s">
        <v>151</v>
      </c>
      <c r="B23" s="95"/>
      <c r="C23" s="207"/>
      <c r="D23" s="121"/>
      <c r="E23" s="169">
        <v>0</v>
      </c>
      <c r="F23" s="387" t="s">
        <v>188</v>
      </c>
      <c r="G23" s="387"/>
      <c r="H23" s="387"/>
      <c r="I23" s="387"/>
      <c r="J23" s="340">
        <f>SUM(I18:J22)</f>
        <v>0</v>
      </c>
    </row>
    <row r="24" spans="1:10" s="386" customFormat="1" hidden="1">
      <c r="A24" s="141" t="s">
        <v>143</v>
      </c>
      <c r="B24" s="95">
        <v>146</v>
      </c>
      <c r="C24" s="207"/>
      <c r="D24" s="121"/>
      <c r="E24" s="169">
        <v>0</v>
      </c>
      <c r="F24" s="387" t="s">
        <v>188</v>
      </c>
      <c r="G24" s="123"/>
      <c r="H24" s="7"/>
      <c r="I24" s="7"/>
      <c r="J24" s="7"/>
    </row>
    <row r="25" spans="1:10" s="386" customFormat="1" hidden="1">
      <c r="A25" s="141" t="s">
        <v>105</v>
      </c>
      <c r="B25" s="95"/>
      <c r="C25" s="207"/>
      <c r="D25" s="121"/>
      <c r="E25" s="227">
        <v>0</v>
      </c>
      <c r="F25" s="387"/>
      <c r="G25" s="123"/>
      <c r="H25" s="7"/>
      <c r="I25" s="12"/>
      <c r="J25" s="12"/>
    </row>
    <row r="26" spans="1:10" s="386" customFormat="1" ht="16" hidden="1" thickBot="1">
      <c r="A26" s="50"/>
      <c r="B26" s="95"/>
      <c r="C26" s="159">
        <f>SUM(C15:C25)</f>
        <v>20381158</v>
      </c>
      <c r="D26" s="142"/>
      <c r="E26" s="208">
        <f>SUM(E15:E25)</f>
        <v>582172.53</v>
      </c>
      <c r="F26" s="387"/>
      <c r="G26" s="123"/>
      <c r="H26" s="7"/>
      <c r="I26" s="7"/>
      <c r="J26" s="8"/>
    </row>
    <row r="27" spans="1:10" s="386" customFormat="1" ht="16" hidden="1" thickTop="1">
      <c r="A27" s="50"/>
      <c r="B27" s="95"/>
      <c r="C27" s="225">
        <v>20381158</v>
      </c>
      <c r="D27" s="142" t="s">
        <v>161</v>
      </c>
      <c r="E27" s="156">
        <v>0</v>
      </c>
      <c r="F27" s="387"/>
      <c r="G27" s="11"/>
      <c r="H27" s="7"/>
      <c r="I27" s="8"/>
      <c r="J27" s="7"/>
    </row>
    <row r="28" spans="1:10" s="386" customFormat="1" ht="16" hidden="1" thickBot="1">
      <c r="A28" s="50"/>
      <c r="B28" s="95"/>
      <c r="C28" s="231">
        <f>C27-C26</f>
        <v>0</v>
      </c>
      <c r="D28" s="142"/>
      <c r="E28" s="160">
        <f>SUM(E26:E27)</f>
        <v>582172.53</v>
      </c>
      <c r="F28" s="387"/>
      <c r="G28" s="65" t="s">
        <v>158</v>
      </c>
      <c r="H28" s="7"/>
      <c r="I28" s="7"/>
      <c r="J28" s="7"/>
    </row>
    <row r="29" spans="1:10" s="386" customFormat="1" ht="16" hidden="1" thickTop="1">
      <c r="A29" s="387"/>
      <c r="B29" s="387"/>
      <c r="C29" s="387"/>
      <c r="D29" s="142" t="s">
        <v>87</v>
      </c>
      <c r="E29" s="50">
        <f>E28+E10</f>
        <v>-4406891.6199659081</v>
      </c>
      <c r="F29" s="387"/>
      <c r="G29" s="8">
        <f>(E10*(D30/12))+(E28*(D30/24))</f>
        <v>-12723.690105116002</v>
      </c>
      <c r="H29" s="398"/>
      <c r="I29" s="398"/>
      <c r="J29" s="7"/>
    </row>
    <row r="30" spans="1:10" s="386" customFormat="1" hidden="1">
      <c r="A30" s="387"/>
      <c r="B30" s="387"/>
      <c r="C30" s="50" t="s">
        <v>57</v>
      </c>
      <c r="D30" s="226">
        <v>3.2500000000000001E-2</v>
      </c>
      <c r="E30" s="119">
        <f>ROUND(((E10)+(SUM(E28))/2)*(D30/12),2)</f>
        <v>-12723.69</v>
      </c>
      <c r="F30" s="387"/>
      <c r="G30" s="8"/>
      <c r="H30" s="7"/>
      <c r="I30" s="12"/>
      <c r="J30" s="12"/>
    </row>
    <row r="31" spans="1:10" s="386" customFormat="1" hidden="1">
      <c r="A31" s="387"/>
      <c r="B31" s="387"/>
      <c r="C31" s="50" t="s">
        <v>1</v>
      </c>
      <c r="D31" s="90">
        <f>A13</f>
        <v>41243</v>
      </c>
      <c r="E31" s="50">
        <f>SUM(E29:E30)</f>
        <v>-4419615.3099659085</v>
      </c>
      <c r="F31" s="387"/>
      <c r="G31" s="248"/>
    </row>
    <row r="32" spans="1:10" s="386" customFormat="1" hidden="1">
      <c r="A32" s="387"/>
      <c r="B32" s="387"/>
      <c r="C32" s="50"/>
      <c r="D32" s="445" t="s">
        <v>201</v>
      </c>
      <c r="E32" s="64">
        <v>-4419708.3600000003</v>
      </c>
      <c r="F32" s="387"/>
      <c r="G32" s="248"/>
    </row>
    <row r="33" spans="1:10" s="386" customFormat="1" hidden="1">
      <c r="A33" s="387"/>
      <c r="B33" s="387"/>
      <c r="C33" s="50"/>
      <c r="D33" s="445" t="s">
        <v>220</v>
      </c>
      <c r="E33" s="446">
        <f>E31-E32</f>
        <v>93.050034091807902</v>
      </c>
      <c r="F33" s="387"/>
      <c r="G33" s="248"/>
    </row>
    <row r="34" spans="1:10" s="386" customFormat="1" ht="16" hidden="1" thickBot="1"/>
    <row r="35" spans="1:10" s="386" customFormat="1" hidden="1">
      <c r="A35" s="73" t="s">
        <v>141</v>
      </c>
      <c r="B35" s="78"/>
      <c r="C35" s="79"/>
      <c r="D35" s="80"/>
      <c r="E35" s="81"/>
      <c r="G35" s="5"/>
      <c r="H35" s="5"/>
      <c r="I35" s="48"/>
      <c r="J35" s="48"/>
    </row>
    <row r="36" spans="1:10" s="386" customFormat="1" hidden="1">
      <c r="A36" s="220">
        <v>41274</v>
      </c>
      <c r="B36" s="137"/>
      <c r="C36" s="11"/>
      <c r="D36" s="138"/>
      <c r="E36" s="77"/>
      <c r="G36" s="5"/>
      <c r="H36" s="5"/>
      <c r="I36" s="48"/>
      <c r="J36" s="48"/>
    </row>
    <row r="37" spans="1:10" s="386" customFormat="1" ht="16" hidden="1" thickBot="1">
      <c r="A37" s="139"/>
      <c r="B37" s="140"/>
      <c r="C37" s="131" t="s">
        <v>21</v>
      </c>
      <c r="D37" s="131" t="s">
        <v>22</v>
      </c>
      <c r="E37" s="128" t="s">
        <v>23</v>
      </c>
      <c r="F37" s="387"/>
      <c r="G37" s="387"/>
      <c r="H37" s="387"/>
      <c r="I37" s="387"/>
      <c r="J37" s="387"/>
    </row>
    <row r="38" spans="1:10" s="386" customFormat="1" hidden="1">
      <c r="A38" s="50" t="s">
        <v>24</v>
      </c>
      <c r="B38" s="95">
        <v>101</v>
      </c>
      <c r="C38" s="207">
        <v>18054358</v>
      </c>
      <c r="D38" s="391">
        <v>3.3950000000000001E-2</v>
      </c>
      <c r="E38" s="169">
        <v>610563.22</v>
      </c>
      <c r="F38" s="387" t="s">
        <v>188</v>
      </c>
      <c r="G38" s="387"/>
      <c r="H38" s="387"/>
      <c r="I38" s="387"/>
      <c r="J38" s="387"/>
    </row>
    <row r="39" spans="1:10" s="386" customFormat="1" ht="16" hidden="1" thickBot="1">
      <c r="A39" s="50" t="s">
        <v>24</v>
      </c>
      <c r="B39" s="95">
        <v>111</v>
      </c>
      <c r="C39" s="207">
        <v>6151406</v>
      </c>
      <c r="D39" s="391">
        <v>3.0599999999999999E-2</v>
      </c>
      <c r="E39" s="169">
        <v>187548.98</v>
      </c>
      <c r="F39" s="387" t="s">
        <v>188</v>
      </c>
      <c r="G39" s="123">
        <f>A36</f>
        <v>41274</v>
      </c>
      <c r="H39" s="387"/>
      <c r="I39" s="387"/>
      <c r="J39" s="387"/>
    </row>
    <row r="40" spans="1:10" s="386" customFormat="1" ht="16" hidden="1" thickBot="1">
      <c r="A40" s="50" t="s">
        <v>24</v>
      </c>
      <c r="B40" s="95">
        <v>112</v>
      </c>
      <c r="C40" s="207">
        <v>0</v>
      </c>
      <c r="D40" s="391"/>
      <c r="E40" s="169">
        <f t="shared" ref="E40" si="0">C40*D40</f>
        <v>0</v>
      </c>
      <c r="F40" s="387" t="s">
        <v>188</v>
      </c>
      <c r="G40" s="113" t="s">
        <v>25</v>
      </c>
      <c r="H40" s="206"/>
      <c r="I40" s="126" t="s">
        <v>18</v>
      </c>
      <c r="J40" s="126" t="s">
        <v>19</v>
      </c>
    </row>
    <row r="41" spans="1:10" s="386" customFormat="1" hidden="1">
      <c r="A41" s="50" t="s">
        <v>24</v>
      </c>
      <c r="B41" s="95">
        <v>121</v>
      </c>
      <c r="C41" s="207">
        <v>385155</v>
      </c>
      <c r="D41" s="391">
        <v>2.998E-2</v>
      </c>
      <c r="E41" s="169">
        <v>11473.63</v>
      </c>
      <c r="F41" s="387" t="s">
        <v>188</v>
      </c>
      <c r="G41" s="151" t="s">
        <v>28</v>
      </c>
      <c r="H41" s="152" t="s">
        <v>75</v>
      </c>
      <c r="I41" s="152"/>
      <c r="J41" s="97">
        <f>IF(-E53&lt;0,-E53,0)</f>
        <v>0</v>
      </c>
    </row>
    <row r="42" spans="1:10" s="386" customFormat="1" hidden="1">
      <c r="A42" s="50" t="s">
        <v>24</v>
      </c>
      <c r="B42" s="95">
        <v>122</v>
      </c>
      <c r="C42" s="207">
        <v>0</v>
      </c>
      <c r="D42" s="391"/>
      <c r="E42" s="169">
        <f t="shared" ref="E42:E47" si="1">C42*D42</f>
        <v>0</v>
      </c>
      <c r="F42" s="387" t="s">
        <v>188</v>
      </c>
      <c r="G42" s="153" t="s">
        <v>29</v>
      </c>
      <c r="H42" s="7" t="s">
        <v>76</v>
      </c>
      <c r="I42" s="7">
        <f>IF(-E53&gt;0,-E53,0)</f>
        <v>10764.89</v>
      </c>
      <c r="J42" s="224"/>
    </row>
    <row r="43" spans="1:10" s="386" customFormat="1" hidden="1">
      <c r="A43" s="50" t="s">
        <v>24</v>
      </c>
      <c r="B43" s="95">
        <v>131</v>
      </c>
      <c r="C43" s="207">
        <v>0</v>
      </c>
      <c r="D43" s="391">
        <v>5.7389999999999997E-2</v>
      </c>
      <c r="E43" s="169">
        <f t="shared" si="1"/>
        <v>0</v>
      </c>
      <c r="F43" s="387" t="s">
        <v>188</v>
      </c>
      <c r="G43" s="153" t="s">
        <v>97</v>
      </c>
      <c r="H43" s="7" t="s">
        <v>26</v>
      </c>
      <c r="I43" s="8"/>
      <c r="J43" s="98">
        <f>-E51</f>
        <v>-889770.75003409176</v>
      </c>
    </row>
    <row r="44" spans="1:10" s="386" customFormat="1" hidden="1">
      <c r="A44" s="50" t="s">
        <v>24</v>
      </c>
      <c r="B44" s="95">
        <v>132</v>
      </c>
      <c r="C44" s="207">
        <v>0</v>
      </c>
      <c r="D44" s="391"/>
      <c r="E44" s="169">
        <f t="shared" si="1"/>
        <v>0</v>
      </c>
      <c r="F44" s="387" t="s">
        <v>188</v>
      </c>
      <c r="G44" s="153" t="s">
        <v>10</v>
      </c>
      <c r="H44" s="7" t="s">
        <v>17</v>
      </c>
      <c r="I44" s="7">
        <v>0</v>
      </c>
      <c r="J44" s="98"/>
    </row>
    <row r="45" spans="1:10" s="386" customFormat="1" ht="16" hidden="1" thickBot="1">
      <c r="A45" s="50" t="s">
        <v>24</v>
      </c>
      <c r="B45" s="95">
        <v>146</v>
      </c>
      <c r="C45" s="207">
        <v>3066817</v>
      </c>
      <c r="D45" s="239"/>
      <c r="E45" s="169">
        <f t="shared" si="1"/>
        <v>0</v>
      </c>
      <c r="F45" s="387" t="s">
        <v>188</v>
      </c>
      <c r="G45" s="154" t="s">
        <v>98</v>
      </c>
      <c r="H45" s="147" t="s">
        <v>27</v>
      </c>
      <c r="I45" s="110">
        <f>-E32+E54</f>
        <v>879005.86003409186</v>
      </c>
      <c r="J45" s="107"/>
    </row>
    <row r="46" spans="1:10" s="386" customFormat="1" hidden="1">
      <c r="A46" s="50" t="s">
        <v>151</v>
      </c>
      <c r="B46" s="95"/>
      <c r="C46" s="207"/>
      <c r="D46" s="121"/>
      <c r="E46" s="169">
        <f t="shared" si="1"/>
        <v>0</v>
      </c>
      <c r="F46" s="387" t="s">
        <v>188</v>
      </c>
      <c r="G46" s="387"/>
      <c r="H46" s="387"/>
      <c r="I46" s="387"/>
      <c r="J46" s="340">
        <f>SUM(I41:J45)</f>
        <v>0</v>
      </c>
    </row>
    <row r="47" spans="1:10" s="386" customFormat="1" hidden="1">
      <c r="A47" s="141" t="s">
        <v>143</v>
      </c>
      <c r="B47" s="95">
        <v>146</v>
      </c>
      <c r="C47" s="207"/>
      <c r="D47" s="121"/>
      <c r="E47" s="169">
        <f t="shared" si="1"/>
        <v>0</v>
      </c>
      <c r="F47" s="387" t="s">
        <v>188</v>
      </c>
      <c r="G47" s="123"/>
      <c r="H47" s="7"/>
      <c r="I47" s="7"/>
      <c r="J47" s="7"/>
    </row>
    <row r="48" spans="1:10" s="386" customFormat="1" hidden="1">
      <c r="A48" s="141" t="s">
        <v>105</v>
      </c>
      <c r="B48" s="95"/>
      <c r="C48" s="207"/>
      <c r="D48" s="121"/>
      <c r="E48" s="227">
        <v>80091.87</v>
      </c>
      <c r="F48" s="387"/>
      <c r="G48" s="123"/>
      <c r="H48" s="7"/>
      <c r="I48" s="12"/>
      <c r="J48" s="12"/>
    </row>
    <row r="49" spans="1:10" s="386" customFormat="1" ht="16" hidden="1" thickBot="1">
      <c r="A49" s="50"/>
      <c r="B49" s="95"/>
      <c r="C49" s="159">
        <f>SUM(C38:C48)</f>
        <v>27657736</v>
      </c>
      <c r="D49" s="142"/>
      <c r="E49" s="208">
        <f>SUM(E38:E48)</f>
        <v>889677.7</v>
      </c>
      <c r="F49" s="387"/>
      <c r="G49" s="123"/>
      <c r="H49" s="7"/>
      <c r="I49" s="7"/>
      <c r="J49" s="8"/>
    </row>
    <row r="50" spans="1:10" s="386" customFormat="1" ht="16" hidden="1" thickTop="1">
      <c r="A50" s="50"/>
      <c r="B50" s="95"/>
      <c r="C50" s="225">
        <v>27657736</v>
      </c>
      <c r="D50" s="142" t="s">
        <v>161</v>
      </c>
      <c r="E50" s="156">
        <f>E33</f>
        <v>93.050034091807902</v>
      </c>
      <c r="F50" s="387"/>
      <c r="G50" s="11"/>
      <c r="H50" s="7"/>
      <c r="I50" s="8"/>
      <c r="J50" s="7"/>
    </row>
    <row r="51" spans="1:10" s="386" customFormat="1" ht="16" hidden="1" thickBot="1">
      <c r="A51" s="50"/>
      <c r="B51" s="95"/>
      <c r="C51" s="231">
        <f>C50-C49</f>
        <v>0</v>
      </c>
      <c r="D51" s="142"/>
      <c r="E51" s="160">
        <f>SUM(E49:E50)</f>
        <v>889770.75003409176</v>
      </c>
      <c r="F51" s="387"/>
      <c r="G51" s="65" t="s">
        <v>158</v>
      </c>
      <c r="H51" s="7"/>
      <c r="I51" s="7"/>
      <c r="J51" s="7"/>
    </row>
    <row r="52" spans="1:10" s="386" customFormat="1" ht="16" hidden="1" thickTop="1">
      <c r="A52" s="387"/>
      <c r="B52" s="387"/>
      <c r="C52" s="387"/>
      <c r="D52" s="142" t="s">
        <v>87</v>
      </c>
      <c r="E52" s="50">
        <f>E51+E32</f>
        <v>-3529937.6099659083</v>
      </c>
      <c r="F52" s="387"/>
      <c r="G52" s="8">
        <f>(E31*(D53/12))+(E51*(D53/24))</f>
        <v>-10764.893573819838</v>
      </c>
      <c r="H52" s="400"/>
      <c r="I52" s="400"/>
      <c r="J52" s="7"/>
    </row>
    <row r="53" spans="1:10" s="386" customFormat="1" hidden="1">
      <c r="A53" s="387"/>
      <c r="B53" s="387"/>
      <c r="C53" s="50" t="s">
        <v>57</v>
      </c>
      <c r="D53" s="226">
        <v>3.2500000000000001E-2</v>
      </c>
      <c r="E53" s="119">
        <f>ROUND(((E31)+(SUM(E51))/2)*(D53/12),2)</f>
        <v>-10764.89</v>
      </c>
      <c r="F53" s="387"/>
      <c r="G53" s="8"/>
      <c r="H53" s="7"/>
      <c r="I53" s="12"/>
      <c r="J53" s="12"/>
    </row>
    <row r="54" spans="1:10" s="386" customFormat="1" hidden="1">
      <c r="A54" s="387"/>
      <c r="B54" s="387"/>
      <c r="C54" s="50" t="s">
        <v>1</v>
      </c>
      <c r="D54" s="90">
        <f>A36</f>
        <v>41274</v>
      </c>
      <c r="E54" s="50">
        <f>SUM(E52:E53)</f>
        <v>-3540702.4999659085</v>
      </c>
      <c r="F54" s="387"/>
      <c r="G54" s="248"/>
    </row>
    <row r="55" spans="1:10" s="333" customFormat="1" ht="16" hidden="1" thickBot="1"/>
    <row r="56" spans="1:10" hidden="1">
      <c r="A56" s="73" t="s">
        <v>141</v>
      </c>
      <c r="B56" s="78"/>
      <c r="C56" s="79"/>
      <c r="D56" s="80"/>
      <c r="E56" s="81"/>
      <c r="F56" s="386"/>
      <c r="G56" s="5"/>
      <c r="H56" s="5"/>
      <c r="I56" s="48"/>
      <c r="J56" s="48"/>
    </row>
    <row r="57" spans="1:10" hidden="1">
      <c r="A57" s="220">
        <v>41305</v>
      </c>
      <c r="B57" s="137"/>
      <c r="C57" s="11"/>
      <c r="D57" s="138"/>
      <c r="E57" s="77"/>
      <c r="F57" s="386"/>
      <c r="G57" s="5"/>
      <c r="H57" s="5"/>
      <c r="I57" s="48"/>
      <c r="J57" s="48"/>
    </row>
    <row r="58" spans="1:10" ht="16" hidden="1" thickBot="1">
      <c r="A58" s="139"/>
      <c r="B58" s="140"/>
      <c r="C58" s="131" t="s">
        <v>21</v>
      </c>
      <c r="D58" s="131" t="s">
        <v>22</v>
      </c>
      <c r="E58" s="128" t="s">
        <v>23</v>
      </c>
      <c r="F58" s="387"/>
      <c r="G58" s="387"/>
      <c r="H58" s="387"/>
      <c r="I58" s="387"/>
      <c r="J58" s="387"/>
    </row>
    <row r="59" spans="1:10" hidden="1">
      <c r="A59" s="50" t="s">
        <v>24</v>
      </c>
      <c r="B59" s="95">
        <v>101</v>
      </c>
      <c r="C59" s="207">
        <v>22136409</v>
      </c>
      <c r="D59" s="391">
        <v>3.3950000000000001E-2</v>
      </c>
      <c r="E59" s="169">
        <f>C59*D59</f>
        <v>751531.08555000008</v>
      </c>
      <c r="F59" s="387"/>
      <c r="G59" s="387"/>
      <c r="H59" s="387"/>
      <c r="I59" s="387"/>
      <c r="J59" s="387"/>
    </row>
    <row r="60" spans="1:10" ht="16" hidden="1" thickBot="1">
      <c r="A60" s="50" t="s">
        <v>24</v>
      </c>
      <c r="B60" s="95">
        <v>111</v>
      </c>
      <c r="C60" s="207">
        <v>7525225</v>
      </c>
      <c r="D60" s="391">
        <v>3.0599999999999999E-2</v>
      </c>
      <c r="E60" s="169">
        <f>C60*D60</f>
        <v>230271.88499999998</v>
      </c>
      <c r="F60" s="387"/>
      <c r="G60" s="123">
        <f>A57</f>
        <v>41305</v>
      </c>
      <c r="H60" s="387"/>
      <c r="I60" s="387"/>
      <c r="J60" s="387"/>
    </row>
    <row r="61" spans="1:10" ht="16" hidden="1" thickBot="1">
      <c r="A61" s="50" t="s">
        <v>24</v>
      </c>
      <c r="B61" s="95">
        <v>112</v>
      </c>
      <c r="C61" s="207">
        <v>0</v>
      </c>
      <c r="D61" s="391"/>
      <c r="E61" s="169">
        <f t="shared" ref="E61:E68" si="2">C61*D61</f>
        <v>0</v>
      </c>
      <c r="F61" s="387"/>
      <c r="G61" s="113" t="s">
        <v>25</v>
      </c>
      <c r="H61" s="206"/>
      <c r="I61" s="126" t="s">
        <v>18</v>
      </c>
      <c r="J61" s="126" t="s">
        <v>19</v>
      </c>
    </row>
    <row r="62" spans="1:10" hidden="1">
      <c r="A62" s="50" t="s">
        <v>24</v>
      </c>
      <c r="B62" s="95">
        <v>121</v>
      </c>
      <c r="C62" s="207">
        <v>606431</v>
      </c>
      <c r="D62" s="391">
        <v>2.998E-2</v>
      </c>
      <c r="E62" s="169">
        <f>C62*D62</f>
        <v>18180.801380000001</v>
      </c>
      <c r="F62" s="387"/>
      <c r="G62" s="151" t="s">
        <v>28</v>
      </c>
      <c r="H62" s="152" t="s">
        <v>75</v>
      </c>
      <c r="I62" s="152"/>
      <c r="J62" s="97">
        <f>IF(-E74&lt;0,-E74,0)</f>
        <v>0</v>
      </c>
    </row>
    <row r="63" spans="1:10" hidden="1">
      <c r="A63" s="50" t="s">
        <v>24</v>
      </c>
      <c r="B63" s="95">
        <v>122</v>
      </c>
      <c r="C63" s="207">
        <v>0</v>
      </c>
      <c r="D63" s="391"/>
      <c r="E63" s="169">
        <f t="shared" si="2"/>
        <v>0</v>
      </c>
      <c r="F63" s="387"/>
      <c r="G63" s="153" t="s">
        <v>29</v>
      </c>
      <c r="H63" s="7" t="s">
        <v>76</v>
      </c>
      <c r="I63" s="7">
        <f>IF(-E74&gt;0,-E74,0)</f>
        <v>8235.26</v>
      </c>
      <c r="J63" s="224"/>
    </row>
    <row r="64" spans="1:10" hidden="1">
      <c r="A64" s="50" t="s">
        <v>24</v>
      </c>
      <c r="B64" s="95">
        <v>131</v>
      </c>
      <c r="C64" s="207">
        <v>0</v>
      </c>
      <c r="D64" s="391">
        <v>5.7389999999999997E-2</v>
      </c>
      <c r="E64" s="169">
        <f t="shared" si="2"/>
        <v>0</v>
      </c>
      <c r="F64" s="387"/>
      <c r="G64" s="153" t="s">
        <v>97</v>
      </c>
      <c r="H64" s="7" t="s">
        <v>26</v>
      </c>
      <c r="I64" s="8"/>
      <c r="J64" s="98">
        <f>-E72</f>
        <v>-999983.77193000005</v>
      </c>
    </row>
    <row r="65" spans="1:10" hidden="1">
      <c r="A65" s="50" t="s">
        <v>24</v>
      </c>
      <c r="B65" s="95">
        <v>132</v>
      </c>
      <c r="C65" s="207">
        <v>0</v>
      </c>
      <c r="D65" s="391"/>
      <c r="E65" s="169">
        <f t="shared" si="2"/>
        <v>0</v>
      </c>
      <c r="F65" s="387"/>
      <c r="G65" s="153" t="s">
        <v>10</v>
      </c>
      <c r="H65" s="7" t="s">
        <v>17</v>
      </c>
      <c r="I65" s="7">
        <v>0</v>
      </c>
      <c r="J65" s="98"/>
    </row>
    <row r="66" spans="1:10" ht="16" hidden="1" thickBot="1">
      <c r="A66" s="50" t="s">
        <v>24</v>
      </c>
      <c r="B66" s="95">
        <v>146</v>
      </c>
      <c r="C66" s="207">
        <v>3682356</v>
      </c>
      <c r="D66" s="239"/>
      <c r="E66" s="169">
        <f t="shared" si="2"/>
        <v>0</v>
      </c>
      <c r="F66" s="387"/>
      <c r="G66" s="154" t="s">
        <v>98</v>
      </c>
      <c r="H66" s="147" t="s">
        <v>27</v>
      </c>
      <c r="I66" s="110">
        <f>-E54+E75</f>
        <v>991748.5119300005</v>
      </c>
      <c r="J66" s="107"/>
    </row>
    <row r="67" spans="1:10" hidden="1">
      <c r="A67" s="50" t="s">
        <v>151</v>
      </c>
      <c r="B67" s="95"/>
      <c r="C67" s="207"/>
      <c r="D67" s="121"/>
      <c r="E67" s="169">
        <f t="shared" si="2"/>
        <v>0</v>
      </c>
      <c r="F67" s="387"/>
      <c r="G67" s="721"/>
      <c r="H67" s="721"/>
      <c r="I67" s="721"/>
      <c r="J67" s="340">
        <f>SUM(I62:J66)</f>
        <v>0</v>
      </c>
    </row>
    <row r="68" spans="1:10" hidden="1">
      <c r="A68" s="141" t="s">
        <v>143</v>
      </c>
      <c r="B68" s="95">
        <v>146</v>
      </c>
      <c r="C68" s="207"/>
      <c r="D68" s="121"/>
      <c r="E68" s="169">
        <f t="shared" si="2"/>
        <v>0</v>
      </c>
      <c r="F68" s="387"/>
      <c r="G68" s="722"/>
      <c r="H68" s="722"/>
      <c r="I68" s="722"/>
      <c r="J68" s="7"/>
    </row>
    <row r="69" spans="1:10" hidden="1">
      <c r="A69" s="141" t="s">
        <v>105</v>
      </c>
      <c r="B69" s="95"/>
      <c r="C69" s="207"/>
      <c r="D69" s="121"/>
      <c r="E69" s="227">
        <v>0</v>
      </c>
      <c r="F69" s="387"/>
      <c r="G69" s="722"/>
      <c r="H69" s="722"/>
      <c r="I69" s="722"/>
      <c r="J69" s="12"/>
    </row>
    <row r="70" spans="1:10" ht="16" hidden="1" thickBot="1">
      <c r="A70" s="50"/>
      <c r="B70" s="95"/>
      <c r="C70" s="159">
        <f>SUM(C59:C69)</f>
        <v>33950421</v>
      </c>
      <c r="D70" s="142"/>
      <c r="E70" s="208">
        <f>SUM(E59:E69)</f>
        <v>999983.77193000005</v>
      </c>
      <c r="F70" s="387"/>
      <c r="G70" s="722"/>
      <c r="H70" s="722"/>
      <c r="I70" s="722"/>
      <c r="J70" s="8"/>
    </row>
    <row r="71" spans="1:10" ht="16" hidden="1" thickTop="1">
      <c r="A71" s="50"/>
      <c r="B71" s="95"/>
      <c r="C71" s="225">
        <v>33950421</v>
      </c>
      <c r="D71" s="142" t="s">
        <v>161</v>
      </c>
      <c r="E71" s="156">
        <v>0</v>
      </c>
      <c r="F71" s="387"/>
      <c r="G71" s="11"/>
      <c r="H71" s="7"/>
      <c r="I71" s="8"/>
      <c r="J71" s="7"/>
    </row>
    <row r="72" spans="1:10" ht="16" hidden="1" thickBot="1">
      <c r="A72" s="50"/>
      <c r="B72" s="95"/>
      <c r="C72" s="231">
        <f>C71-C70</f>
        <v>0</v>
      </c>
      <c r="D72" s="142"/>
      <c r="E72" s="160">
        <f>SUM(E70:E71)</f>
        <v>999983.77193000005</v>
      </c>
      <c r="F72" s="387"/>
      <c r="G72" s="65" t="s">
        <v>158</v>
      </c>
      <c r="H72" s="7"/>
      <c r="I72" s="7"/>
      <c r="J72" s="7"/>
    </row>
    <row r="73" spans="1:10" ht="16" hidden="1" thickTop="1">
      <c r="A73" s="387"/>
      <c r="B73" s="387"/>
      <c r="C73" s="387"/>
      <c r="D73" s="142" t="s">
        <v>87</v>
      </c>
      <c r="E73" s="50">
        <f>E72+E54</f>
        <v>-2540718.7280359082</v>
      </c>
      <c r="F73" s="387"/>
      <c r="G73" s="8">
        <f>(E54*(D74/12))+(E72*(D74/24))</f>
        <v>-8235.2579129191272</v>
      </c>
      <c r="H73" s="448"/>
      <c r="I73" s="448"/>
      <c r="J73" s="7"/>
    </row>
    <row r="74" spans="1:10" hidden="1">
      <c r="A74" s="387"/>
      <c r="B74" s="387"/>
      <c r="C74" s="50" t="s">
        <v>57</v>
      </c>
      <c r="D74" s="226">
        <v>3.2500000000000001E-2</v>
      </c>
      <c r="E74" s="119">
        <f>ROUND(((E54)+(SUM(E72))/2)*(D74/12),2)</f>
        <v>-8235.26</v>
      </c>
      <c r="F74" s="387"/>
      <c r="G74" s="8"/>
      <c r="H74" s="7"/>
      <c r="I74" s="12"/>
      <c r="J74" s="12"/>
    </row>
    <row r="75" spans="1:10" hidden="1">
      <c r="A75" s="387"/>
      <c r="B75" s="387"/>
      <c r="C75" s="50" t="s">
        <v>1</v>
      </c>
      <c r="D75" s="90">
        <f>A57</f>
        <v>41305</v>
      </c>
      <c r="E75" s="50">
        <f>SUM(E73:E74)</f>
        <v>-2548953.988035908</v>
      </c>
      <c r="F75" s="387"/>
      <c r="G75" s="248"/>
      <c r="H75" s="386"/>
      <c r="I75" s="386"/>
      <c r="J75" s="386"/>
    </row>
    <row r="76" spans="1:10" s="386" customFormat="1" ht="16" hidden="1" thickBot="1"/>
    <row r="77" spans="1:10" s="386" customFormat="1" hidden="1">
      <c r="A77" s="73" t="s">
        <v>141</v>
      </c>
      <c r="B77" s="78"/>
      <c r="C77" s="79"/>
      <c r="D77" s="80"/>
      <c r="E77" s="81"/>
      <c r="G77" s="5"/>
      <c r="H77" s="5"/>
      <c r="I77" s="48"/>
      <c r="J77" s="48"/>
    </row>
    <row r="78" spans="1:10" s="386" customFormat="1" hidden="1">
      <c r="A78" s="220">
        <v>41333</v>
      </c>
      <c r="B78" s="137"/>
      <c r="C78" s="11"/>
      <c r="D78" s="138"/>
      <c r="E78" s="77"/>
      <c r="G78" s="5"/>
      <c r="H78" s="5"/>
      <c r="I78" s="48"/>
      <c r="J78" s="48"/>
    </row>
    <row r="79" spans="1:10" s="386" customFormat="1" ht="16" hidden="1" thickBot="1">
      <c r="A79" s="139"/>
      <c r="B79" s="140"/>
      <c r="C79" s="131" t="s">
        <v>21</v>
      </c>
      <c r="D79" s="131" t="s">
        <v>22</v>
      </c>
      <c r="E79" s="128" t="s">
        <v>23</v>
      </c>
      <c r="F79" s="387"/>
      <c r="G79" s="387"/>
      <c r="H79" s="387"/>
      <c r="I79" s="387"/>
      <c r="J79" s="387"/>
    </row>
    <row r="80" spans="1:10" s="386" customFormat="1" hidden="1">
      <c r="A80" s="50" t="s">
        <v>24</v>
      </c>
      <c r="B80" s="95">
        <v>101</v>
      </c>
      <c r="C80" s="207">
        <v>16585315</v>
      </c>
      <c r="D80" s="391">
        <v>3.3950000000000001E-2</v>
      </c>
      <c r="E80" s="169">
        <v>563071.44425000006</v>
      </c>
      <c r="F80" s="387"/>
      <c r="G80" s="387"/>
      <c r="H80" s="387"/>
      <c r="I80" s="387"/>
      <c r="J80" s="387"/>
    </row>
    <row r="81" spans="1:10" s="386" customFormat="1" ht="16" hidden="1" thickBot="1">
      <c r="A81" s="50" t="s">
        <v>24</v>
      </c>
      <c r="B81" s="95">
        <v>111</v>
      </c>
      <c r="C81" s="207">
        <v>5716465</v>
      </c>
      <c r="D81" s="391">
        <v>3.0599999999999999E-2</v>
      </c>
      <c r="E81" s="169">
        <v>174923.829</v>
      </c>
      <c r="F81" s="387"/>
      <c r="G81" s="123">
        <f>A78</f>
        <v>41333</v>
      </c>
      <c r="H81" s="387"/>
      <c r="I81" s="387"/>
      <c r="J81" s="387"/>
    </row>
    <row r="82" spans="1:10" s="386" customFormat="1" ht="16" hidden="1" thickBot="1">
      <c r="A82" s="50" t="s">
        <v>24</v>
      </c>
      <c r="B82" s="95">
        <v>112</v>
      </c>
      <c r="C82" s="207">
        <v>0</v>
      </c>
      <c r="D82" s="391"/>
      <c r="E82" s="169">
        <v>0</v>
      </c>
      <c r="F82" s="387"/>
      <c r="G82" s="113" t="s">
        <v>25</v>
      </c>
      <c r="H82" s="206"/>
      <c r="I82" s="126" t="s">
        <v>18</v>
      </c>
      <c r="J82" s="126" t="s">
        <v>19</v>
      </c>
    </row>
    <row r="83" spans="1:10" s="386" customFormat="1" hidden="1">
      <c r="A83" s="50" t="s">
        <v>24</v>
      </c>
      <c r="B83" s="95">
        <v>121</v>
      </c>
      <c r="C83" s="207">
        <v>416479</v>
      </c>
      <c r="D83" s="391">
        <v>2.998E-2</v>
      </c>
      <c r="E83" s="169">
        <v>12486.040419999999</v>
      </c>
      <c r="F83" s="387"/>
      <c r="G83" s="151" t="s">
        <v>28</v>
      </c>
      <c r="H83" s="152" t="s">
        <v>75</v>
      </c>
      <c r="I83" s="152"/>
      <c r="J83" s="97">
        <f>IF(-E95&lt;0,-E95,0)</f>
        <v>0</v>
      </c>
    </row>
    <row r="84" spans="1:10" s="386" customFormat="1" hidden="1">
      <c r="A84" s="50" t="s">
        <v>24</v>
      </c>
      <c r="B84" s="95">
        <v>122</v>
      </c>
      <c r="C84" s="207">
        <v>0</v>
      </c>
      <c r="D84" s="391"/>
      <c r="E84" s="169">
        <v>0</v>
      </c>
      <c r="F84" s="387"/>
      <c r="G84" s="153" t="s">
        <v>29</v>
      </c>
      <c r="H84" s="7" t="s">
        <v>76</v>
      </c>
      <c r="I84" s="7">
        <f>IF(-E95&gt;0,-E95,0)</f>
        <v>5887.14</v>
      </c>
      <c r="J84" s="224"/>
    </row>
    <row r="85" spans="1:10" s="386" customFormat="1" hidden="1">
      <c r="A85" s="50" t="s">
        <v>24</v>
      </c>
      <c r="B85" s="95">
        <v>131</v>
      </c>
      <c r="C85" s="207">
        <v>0</v>
      </c>
      <c r="D85" s="391">
        <v>5.7389999999999997E-2</v>
      </c>
      <c r="E85" s="169">
        <v>0</v>
      </c>
      <c r="F85" s="387"/>
      <c r="G85" s="153" t="s">
        <v>97</v>
      </c>
      <c r="H85" s="7" t="s">
        <v>26</v>
      </c>
      <c r="I85" s="8"/>
      <c r="J85" s="98">
        <f>-E93</f>
        <v>-750481.31367000006</v>
      </c>
    </row>
    <row r="86" spans="1:10" s="386" customFormat="1" hidden="1">
      <c r="A86" s="50" t="s">
        <v>24</v>
      </c>
      <c r="B86" s="95">
        <v>132</v>
      </c>
      <c r="C86" s="207">
        <v>0</v>
      </c>
      <c r="D86" s="391"/>
      <c r="E86" s="169">
        <v>0</v>
      </c>
      <c r="F86" s="387"/>
      <c r="G86" s="153" t="s">
        <v>10</v>
      </c>
      <c r="H86" s="7" t="s">
        <v>17</v>
      </c>
      <c r="I86" s="7">
        <v>0</v>
      </c>
      <c r="J86" s="98"/>
    </row>
    <row r="87" spans="1:10" s="386" customFormat="1" ht="16" hidden="1" thickBot="1">
      <c r="A87" s="50" t="s">
        <v>24</v>
      </c>
      <c r="B87" s="95">
        <v>146</v>
      </c>
      <c r="C87" s="207">
        <v>2865845</v>
      </c>
      <c r="D87" s="239"/>
      <c r="E87" s="169">
        <v>0</v>
      </c>
      <c r="F87" s="387"/>
      <c r="G87" s="154" t="s">
        <v>98</v>
      </c>
      <c r="H87" s="147" t="s">
        <v>27</v>
      </c>
      <c r="I87" s="110">
        <f>-E75+E96</f>
        <v>744594.17367000016</v>
      </c>
      <c r="J87" s="107"/>
    </row>
    <row r="88" spans="1:10" s="386" customFormat="1" hidden="1">
      <c r="A88" s="50" t="s">
        <v>151</v>
      </c>
      <c r="B88" s="95"/>
      <c r="C88" s="207"/>
      <c r="D88" s="121"/>
      <c r="E88" s="169">
        <v>0</v>
      </c>
      <c r="F88" s="387"/>
      <c r="G88" s="387"/>
      <c r="H88" s="387"/>
      <c r="I88" s="387"/>
      <c r="J88" s="340">
        <f>SUM(I83:J87)</f>
        <v>0</v>
      </c>
    </row>
    <row r="89" spans="1:10" s="386" customFormat="1" hidden="1">
      <c r="A89" s="141" t="s">
        <v>143</v>
      </c>
      <c r="B89" s="95">
        <v>146</v>
      </c>
      <c r="C89" s="207"/>
      <c r="D89" s="121"/>
      <c r="E89" s="169">
        <v>0</v>
      </c>
      <c r="F89" s="387"/>
      <c r="G89" s="123"/>
      <c r="H89" s="7"/>
      <c r="I89" s="7"/>
      <c r="J89" s="7"/>
    </row>
    <row r="90" spans="1:10" s="386" customFormat="1" hidden="1">
      <c r="A90" s="141" t="s">
        <v>105</v>
      </c>
      <c r="B90" s="95"/>
      <c r="C90" s="207"/>
      <c r="D90" s="121"/>
      <c r="E90" s="227">
        <v>0</v>
      </c>
      <c r="F90" s="387"/>
      <c r="G90" s="123"/>
      <c r="H90" s="7"/>
      <c r="I90" s="12"/>
      <c r="J90" s="12"/>
    </row>
    <row r="91" spans="1:10" s="386" customFormat="1" ht="16" hidden="1" thickBot="1">
      <c r="A91" s="50"/>
      <c r="B91" s="95"/>
      <c r="C91" s="159">
        <f>SUM(C80:C90)</f>
        <v>25584104</v>
      </c>
      <c r="D91" s="142"/>
      <c r="E91" s="208">
        <f>SUM(E80:E90)</f>
        <v>750481.31367000006</v>
      </c>
      <c r="F91" s="387"/>
      <c r="G91" s="123"/>
      <c r="H91" s="7"/>
      <c r="I91" s="7"/>
      <c r="J91" s="8"/>
    </row>
    <row r="92" spans="1:10" s="386" customFormat="1" ht="16" hidden="1" thickTop="1">
      <c r="A92" s="50"/>
      <c r="B92" s="95"/>
      <c r="C92" s="225">
        <v>25584104</v>
      </c>
      <c r="D92" s="142" t="s">
        <v>161</v>
      </c>
      <c r="E92" s="156">
        <v>0</v>
      </c>
      <c r="F92" s="387"/>
      <c r="G92" s="11"/>
      <c r="H92" s="7"/>
      <c r="I92" s="8"/>
      <c r="J92" s="7"/>
    </row>
    <row r="93" spans="1:10" s="386" customFormat="1" ht="16" hidden="1" thickBot="1">
      <c r="A93" s="50"/>
      <c r="B93" s="95"/>
      <c r="C93" s="231">
        <f>C92-C91</f>
        <v>0</v>
      </c>
      <c r="D93" s="142"/>
      <c r="E93" s="160">
        <f>SUM(E91:E92)</f>
        <v>750481.31367000006</v>
      </c>
      <c r="F93" s="387"/>
      <c r="G93" s="65" t="s">
        <v>158</v>
      </c>
      <c r="H93" s="7"/>
      <c r="I93" s="7"/>
      <c r="J93" s="7"/>
    </row>
    <row r="94" spans="1:10" s="386" customFormat="1" ht="16" hidden="1" thickTop="1">
      <c r="A94" s="387"/>
      <c r="B94" s="387"/>
      <c r="C94" s="387"/>
      <c r="D94" s="142" t="s">
        <v>87</v>
      </c>
      <c r="E94" s="50">
        <f>E93+E75</f>
        <v>-1798472.6743659079</v>
      </c>
      <c r="F94" s="387"/>
      <c r="G94" s="8">
        <f>(E75*(D95/12))+(E93*(D95/24))</f>
        <v>-5887.1402720024589</v>
      </c>
      <c r="H94" s="450"/>
      <c r="I94" s="450"/>
      <c r="J94" s="7"/>
    </row>
    <row r="95" spans="1:10" s="386" customFormat="1" hidden="1">
      <c r="A95" s="387"/>
      <c r="B95" s="387"/>
      <c r="C95" s="50" t="s">
        <v>57</v>
      </c>
      <c r="D95" s="226">
        <v>3.2500000000000001E-2</v>
      </c>
      <c r="E95" s="119">
        <f>ROUND(((E75)+(SUM(E93))/2)*(D95/12),2)</f>
        <v>-5887.14</v>
      </c>
      <c r="F95" s="387"/>
      <c r="G95" s="8"/>
      <c r="H95" s="7"/>
      <c r="I95" s="12"/>
      <c r="J95" s="12"/>
    </row>
    <row r="96" spans="1:10" s="386" customFormat="1" hidden="1">
      <c r="A96" s="387"/>
      <c r="B96" s="387"/>
      <c r="C96" s="50" t="s">
        <v>1</v>
      </c>
      <c r="D96" s="90">
        <f>A78</f>
        <v>41333</v>
      </c>
      <c r="E96" s="50">
        <f>SUM(E94:E95)</f>
        <v>-1804359.8143659078</v>
      </c>
      <c r="F96" s="387"/>
      <c r="G96" s="248"/>
    </row>
    <row r="97" spans="1:10" s="386" customFormat="1" ht="16" hidden="1" thickBot="1"/>
    <row r="98" spans="1:10" s="386" customFormat="1" hidden="1">
      <c r="A98" s="73" t="s">
        <v>141</v>
      </c>
      <c r="B98" s="78"/>
      <c r="C98" s="79"/>
      <c r="D98" s="80"/>
      <c r="E98" s="81"/>
      <c r="G98" s="5"/>
      <c r="H98" s="5"/>
      <c r="I98" s="48"/>
      <c r="J98" s="48"/>
    </row>
    <row r="99" spans="1:10" s="386" customFormat="1" hidden="1">
      <c r="A99" s="220">
        <v>41364</v>
      </c>
      <c r="B99" s="137"/>
      <c r="C99" s="11"/>
      <c r="D99" s="138"/>
      <c r="E99" s="77"/>
      <c r="G99" s="5"/>
      <c r="H99" s="5"/>
      <c r="I99" s="48"/>
      <c r="J99" s="48"/>
    </row>
    <row r="100" spans="1:10" s="386" customFormat="1" ht="16" hidden="1" thickBot="1">
      <c r="A100" s="139"/>
      <c r="B100" s="140"/>
      <c r="C100" s="131" t="s">
        <v>21</v>
      </c>
      <c r="D100" s="131" t="s">
        <v>22</v>
      </c>
      <c r="E100" s="128" t="s">
        <v>23</v>
      </c>
      <c r="F100" s="387"/>
      <c r="G100" s="387"/>
      <c r="H100" s="387"/>
      <c r="I100" s="387"/>
      <c r="J100" s="387"/>
    </row>
    <row r="101" spans="1:10" s="386" customFormat="1" hidden="1">
      <c r="A101" s="50" t="s">
        <v>24</v>
      </c>
      <c r="B101" s="95">
        <v>101</v>
      </c>
      <c r="C101" s="207">
        <v>12776328</v>
      </c>
      <c r="D101" s="391">
        <v>3.3950000000000001E-2</v>
      </c>
      <c r="E101" s="169">
        <v>433756.33559999999</v>
      </c>
      <c r="F101" s="387"/>
      <c r="G101" s="387"/>
      <c r="H101" s="387"/>
      <c r="I101" s="387"/>
      <c r="J101" s="387"/>
    </row>
    <row r="102" spans="1:10" s="386" customFormat="1" ht="16" hidden="1" thickBot="1">
      <c r="A102" s="50" t="s">
        <v>24</v>
      </c>
      <c r="B102" s="95">
        <v>111</v>
      </c>
      <c r="C102" s="207">
        <v>4890087</v>
      </c>
      <c r="D102" s="391">
        <v>3.0599999999999999E-2</v>
      </c>
      <c r="E102" s="169">
        <v>149636.66219999999</v>
      </c>
      <c r="F102" s="387"/>
      <c r="G102" s="123">
        <f>A99</f>
        <v>41364</v>
      </c>
      <c r="H102" s="387"/>
      <c r="I102" s="387"/>
      <c r="J102" s="387"/>
    </row>
    <row r="103" spans="1:10" s="386" customFormat="1" ht="16" hidden="1" thickBot="1">
      <c r="A103" s="50" t="s">
        <v>24</v>
      </c>
      <c r="B103" s="95">
        <v>112</v>
      </c>
      <c r="C103" s="207">
        <v>0</v>
      </c>
      <c r="D103" s="391"/>
      <c r="E103" s="169">
        <v>0</v>
      </c>
      <c r="F103" s="387"/>
      <c r="G103" s="113" t="s">
        <v>25</v>
      </c>
      <c r="H103" s="206"/>
      <c r="I103" s="126" t="s">
        <v>18</v>
      </c>
      <c r="J103" s="126" t="s">
        <v>19</v>
      </c>
    </row>
    <row r="104" spans="1:10" s="386" customFormat="1" hidden="1">
      <c r="A104" s="50" t="s">
        <v>24</v>
      </c>
      <c r="B104" s="95">
        <v>121</v>
      </c>
      <c r="C104" s="207">
        <v>526218</v>
      </c>
      <c r="D104" s="391">
        <v>2.998E-2</v>
      </c>
      <c r="E104" s="169">
        <v>15776.01564</v>
      </c>
      <c r="F104" s="387"/>
      <c r="G104" s="151" t="s">
        <v>28</v>
      </c>
      <c r="H104" s="152" t="s">
        <v>75</v>
      </c>
      <c r="I104" s="152"/>
      <c r="J104" s="97">
        <f>IF(-E116&lt;0,-E116,0)</f>
        <v>0</v>
      </c>
    </row>
    <row r="105" spans="1:10" s="386" customFormat="1" hidden="1">
      <c r="A105" s="50" t="s">
        <v>24</v>
      </c>
      <c r="B105" s="95">
        <v>122</v>
      </c>
      <c r="C105" s="207">
        <v>0</v>
      </c>
      <c r="D105" s="391"/>
      <c r="E105" s="169">
        <v>0</v>
      </c>
      <c r="F105" s="387"/>
      <c r="G105" s="153" t="s">
        <v>29</v>
      </c>
      <c r="H105" s="7" t="s">
        <v>76</v>
      </c>
      <c r="I105" s="7">
        <f>IF(-E116&gt;0,-E116,0)</f>
        <v>4075.43</v>
      </c>
      <c r="J105" s="224"/>
    </row>
    <row r="106" spans="1:10" s="386" customFormat="1" hidden="1">
      <c r="A106" s="50" t="s">
        <v>24</v>
      </c>
      <c r="B106" s="95">
        <v>131</v>
      </c>
      <c r="C106" s="207">
        <v>0</v>
      </c>
      <c r="D106" s="391">
        <v>5.7389999999999997E-2</v>
      </c>
      <c r="E106" s="169">
        <v>0</v>
      </c>
      <c r="F106" s="387"/>
      <c r="G106" s="153" t="s">
        <v>97</v>
      </c>
      <c r="H106" s="7" t="s">
        <v>26</v>
      </c>
      <c r="I106" s="8"/>
      <c r="J106" s="98">
        <f>-E114</f>
        <v>-599169.01344000001</v>
      </c>
    </row>
    <row r="107" spans="1:10" s="386" customFormat="1" hidden="1">
      <c r="A107" s="50" t="s">
        <v>24</v>
      </c>
      <c r="B107" s="95">
        <v>132</v>
      </c>
      <c r="C107" s="207">
        <v>0</v>
      </c>
      <c r="D107" s="391"/>
      <c r="E107" s="169">
        <v>0</v>
      </c>
      <c r="F107" s="387"/>
      <c r="G107" s="153" t="s">
        <v>10</v>
      </c>
      <c r="H107" s="7" t="s">
        <v>17</v>
      </c>
      <c r="I107" s="7">
        <v>0</v>
      </c>
      <c r="J107" s="98"/>
    </row>
    <row r="108" spans="1:10" s="386" customFormat="1" ht="16" hidden="1" thickBot="1">
      <c r="A108" s="50" t="s">
        <v>24</v>
      </c>
      <c r="B108" s="95">
        <v>146</v>
      </c>
      <c r="C108" s="207">
        <v>2772085</v>
      </c>
      <c r="D108" s="239"/>
      <c r="E108" s="169">
        <v>0</v>
      </c>
      <c r="F108" s="387"/>
      <c r="G108" s="154" t="s">
        <v>98</v>
      </c>
      <c r="H108" s="147" t="s">
        <v>27</v>
      </c>
      <c r="I108" s="110">
        <f>-E96+E117</f>
        <v>595093.58344000019</v>
      </c>
      <c r="J108" s="107"/>
    </row>
    <row r="109" spans="1:10" s="386" customFormat="1" hidden="1">
      <c r="A109" s="50" t="s">
        <v>151</v>
      </c>
      <c r="B109" s="95"/>
      <c r="C109" s="207"/>
      <c r="D109" s="121"/>
      <c r="E109" s="169">
        <v>0</v>
      </c>
      <c r="F109" s="387"/>
      <c r="G109" s="387"/>
      <c r="H109" s="387"/>
      <c r="I109" s="387"/>
      <c r="J109" s="340">
        <f>SUM(I104:J108)</f>
        <v>0</v>
      </c>
    </row>
    <row r="110" spans="1:10" s="386" customFormat="1" hidden="1">
      <c r="A110" s="141" t="s">
        <v>143</v>
      </c>
      <c r="B110" s="95">
        <v>146</v>
      </c>
      <c r="C110" s="207"/>
      <c r="D110" s="121"/>
      <c r="E110" s="169">
        <v>0</v>
      </c>
      <c r="F110" s="387"/>
      <c r="G110" s="123"/>
      <c r="H110" s="7"/>
      <c r="I110" s="7"/>
      <c r="J110" s="7"/>
    </row>
    <row r="111" spans="1:10" s="386" customFormat="1" hidden="1">
      <c r="A111" s="141" t="s">
        <v>105</v>
      </c>
      <c r="B111" s="95"/>
      <c r="C111" s="207"/>
      <c r="D111" s="121"/>
      <c r="E111" s="227">
        <v>0</v>
      </c>
      <c r="F111" s="387"/>
      <c r="G111" s="123"/>
      <c r="H111" s="7"/>
      <c r="I111" s="12"/>
      <c r="J111" s="12"/>
    </row>
    <row r="112" spans="1:10" s="386" customFormat="1" ht="16" hidden="1" thickBot="1">
      <c r="A112" s="50"/>
      <c r="B112" s="95"/>
      <c r="C112" s="159">
        <f>SUM(C101:C111)</f>
        <v>20964718</v>
      </c>
      <c r="D112" s="142"/>
      <c r="E112" s="208">
        <f>SUM(E101:E111)</f>
        <v>599169.01344000001</v>
      </c>
      <c r="F112" s="387"/>
      <c r="G112" s="123"/>
      <c r="H112" s="7"/>
      <c r="I112" s="7"/>
      <c r="J112" s="8"/>
    </row>
    <row r="113" spans="1:10" s="386" customFormat="1" ht="16" hidden="1" thickTop="1">
      <c r="A113" s="50"/>
      <c r="B113" s="95"/>
      <c r="C113" s="225">
        <v>20964718</v>
      </c>
      <c r="D113" s="142" t="s">
        <v>161</v>
      </c>
      <c r="E113" s="156">
        <v>0</v>
      </c>
      <c r="F113" s="387"/>
      <c r="G113" s="11"/>
      <c r="H113" s="7"/>
      <c r="I113" s="8"/>
      <c r="J113" s="7"/>
    </row>
    <row r="114" spans="1:10" s="386" customFormat="1" ht="16" hidden="1" thickBot="1">
      <c r="A114" s="50"/>
      <c r="B114" s="95"/>
      <c r="C114" s="231">
        <f>C113-C112</f>
        <v>0</v>
      </c>
      <c r="D114" s="142"/>
      <c r="E114" s="160">
        <f>SUM(E112:E113)</f>
        <v>599169.01344000001</v>
      </c>
      <c r="F114" s="387"/>
      <c r="G114" s="65" t="s">
        <v>158</v>
      </c>
      <c r="H114" s="7"/>
      <c r="I114" s="7"/>
      <c r="J114" s="7"/>
    </row>
    <row r="115" spans="1:10" s="386" customFormat="1" ht="16" hidden="1" thickTop="1">
      <c r="A115" s="387"/>
      <c r="B115" s="387"/>
      <c r="C115" s="387"/>
      <c r="D115" s="142" t="s">
        <v>87</v>
      </c>
      <c r="E115" s="50">
        <f>E114+E96</f>
        <v>-1205190.8009259077</v>
      </c>
      <c r="F115" s="387"/>
      <c r="G115" s="8">
        <f>(E96*(D116/12))+(E114*(D116/24))</f>
        <v>-4075.4331248743338</v>
      </c>
      <c r="H115" s="452"/>
      <c r="I115" s="452"/>
      <c r="J115" s="7"/>
    </row>
    <row r="116" spans="1:10" s="386" customFormat="1" hidden="1">
      <c r="A116" s="387"/>
      <c r="B116" s="387"/>
      <c r="C116" s="50" t="s">
        <v>57</v>
      </c>
      <c r="D116" s="226">
        <v>3.2500000000000001E-2</v>
      </c>
      <c r="E116" s="119">
        <f>ROUND(((E96)+(SUM(E114))/2)*(D116/12),2)</f>
        <v>-4075.43</v>
      </c>
      <c r="F116" s="387"/>
      <c r="G116" s="8"/>
      <c r="H116" s="7"/>
      <c r="I116" s="12"/>
      <c r="J116" s="12"/>
    </row>
    <row r="117" spans="1:10" s="386" customFormat="1" hidden="1">
      <c r="A117" s="387"/>
      <c r="B117" s="387"/>
      <c r="C117" s="50" t="s">
        <v>1</v>
      </c>
      <c r="D117" s="90">
        <f>A99</f>
        <v>41364</v>
      </c>
      <c r="E117" s="50">
        <f>SUM(E115:E116)</f>
        <v>-1209266.2309259076</v>
      </c>
      <c r="F117" s="387"/>
      <c r="G117" s="248"/>
    </row>
    <row r="118" spans="1:10" s="386" customFormat="1" ht="16" hidden="1" thickBot="1"/>
    <row r="119" spans="1:10" s="386" customFormat="1" hidden="1">
      <c r="A119" s="73" t="s">
        <v>141</v>
      </c>
      <c r="B119" s="78"/>
      <c r="C119" s="79"/>
      <c r="D119" s="80"/>
      <c r="E119" s="81"/>
      <c r="G119" s="5"/>
      <c r="H119" s="5"/>
      <c r="I119" s="48"/>
      <c r="J119" s="48"/>
    </row>
    <row r="120" spans="1:10" s="386" customFormat="1" hidden="1">
      <c r="A120" s="220">
        <v>41394</v>
      </c>
      <c r="B120" s="137"/>
      <c r="C120" s="11"/>
      <c r="D120" s="138"/>
      <c r="E120" s="77"/>
      <c r="G120" s="5"/>
      <c r="H120" s="5"/>
      <c r="I120" s="48"/>
      <c r="J120" s="48"/>
    </row>
    <row r="121" spans="1:10" s="386" customFormat="1" ht="16" hidden="1" thickBot="1">
      <c r="A121" s="139"/>
      <c r="B121" s="140"/>
      <c r="C121" s="131" t="s">
        <v>21</v>
      </c>
      <c r="D121" s="131" t="s">
        <v>22</v>
      </c>
      <c r="E121" s="128" t="s">
        <v>23</v>
      </c>
      <c r="F121" s="387"/>
      <c r="G121" s="387"/>
      <c r="H121" s="387"/>
      <c r="I121" s="387"/>
      <c r="J121" s="387"/>
    </row>
    <row r="122" spans="1:10" s="386" customFormat="1" hidden="1">
      <c r="A122" s="50" t="s">
        <v>24</v>
      </c>
      <c r="B122" s="95">
        <v>101</v>
      </c>
      <c r="C122" s="207">
        <v>8689955</v>
      </c>
      <c r="D122" s="391">
        <v>3.3950000000000001E-2</v>
      </c>
      <c r="E122" s="169">
        <v>295023.97224999999</v>
      </c>
      <c r="F122" s="387"/>
      <c r="G122" s="387"/>
      <c r="H122" s="387"/>
      <c r="I122" s="387"/>
      <c r="J122" s="387"/>
    </row>
    <row r="123" spans="1:10" s="386" customFormat="1" ht="16" hidden="1" thickBot="1">
      <c r="A123" s="50" t="s">
        <v>24</v>
      </c>
      <c r="B123" s="95">
        <v>111</v>
      </c>
      <c r="C123" s="207">
        <v>3665435</v>
      </c>
      <c r="D123" s="391">
        <v>3.0599999999999999E-2</v>
      </c>
      <c r="E123" s="169">
        <v>112162.311</v>
      </c>
      <c r="F123" s="387"/>
      <c r="G123" s="123">
        <f>A120</f>
        <v>41394</v>
      </c>
      <c r="H123" s="387"/>
      <c r="I123" s="387"/>
      <c r="J123" s="387"/>
    </row>
    <row r="124" spans="1:10" s="386" customFormat="1" ht="16" hidden="1" thickBot="1">
      <c r="A124" s="50" t="s">
        <v>24</v>
      </c>
      <c r="B124" s="95">
        <v>112</v>
      </c>
      <c r="C124" s="207">
        <v>0</v>
      </c>
      <c r="D124" s="391"/>
      <c r="E124" s="169">
        <v>0</v>
      </c>
      <c r="F124" s="387"/>
      <c r="G124" s="113" t="s">
        <v>25</v>
      </c>
      <c r="H124" s="206"/>
      <c r="I124" s="126" t="s">
        <v>18</v>
      </c>
      <c r="J124" s="126" t="s">
        <v>19</v>
      </c>
    </row>
    <row r="125" spans="1:10" s="386" customFormat="1" hidden="1">
      <c r="A125" s="50" t="s">
        <v>24</v>
      </c>
      <c r="B125" s="95">
        <v>121</v>
      </c>
      <c r="C125" s="207">
        <v>375679</v>
      </c>
      <c r="D125" s="391">
        <v>2.998E-2</v>
      </c>
      <c r="E125" s="169">
        <v>11262.85642</v>
      </c>
      <c r="F125" s="387"/>
      <c r="G125" s="151" t="s">
        <v>28</v>
      </c>
      <c r="H125" s="152" t="s">
        <v>75</v>
      </c>
      <c r="I125" s="152"/>
      <c r="J125" s="97">
        <f>IF(-E137&lt;0,-E137,0)</f>
        <v>0</v>
      </c>
    </row>
    <row r="126" spans="1:10" s="386" customFormat="1" hidden="1">
      <c r="A126" s="50" t="s">
        <v>24</v>
      </c>
      <c r="B126" s="95">
        <v>122</v>
      </c>
      <c r="C126" s="207">
        <v>0</v>
      </c>
      <c r="D126" s="391"/>
      <c r="E126" s="169">
        <v>0</v>
      </c>
      <c r="F126" s="387"/>
      <c r="G126" s="153" t="s">
        <v>29</v>
      </c>
      <c r="H126" s="7" t="s">
        <v>76</v>
      </c>
      <c r="I126" s="7">
        <f>IF(-E137&gt;0,-E137,0)</f>
        <v>2708.45</v>
      </c>
      <c r="J126" s="224"/>
    </row>
    <row r="127" spans="1:10" s="386" customFormat="1" hidden="1">
      <c r="A127" s="50" t="s">
        <v>24</v>
      </c>
      <c r="B127" s="95">
        <v>131</v>
      </c>
      <c r="C127" s="207">
        <v>0</v>
      </c>
      <c r="D127" s="391">
        <v>5.7389999999999997E-2</v>
      </c>
      <c r="E127" s="169">
        <v>0</v>
      </c>
      <c r="F127" s="387"/>
      <c r="G127" s="153" t="s">
        <v>97</v>
      </c>
      <c r="H127" s="7" t="s">
        <v>26</v>
      </c>
      <c r="I127" s="8"/>
      <c r="J127" s="98">
        <f>-E135</f>
        <v>-418449.13967</v>
      </c>
    </row>
    <row r="128" spans="1:10" s="386" customFormat="1" hidden="1">
      <c r="A128" s="50" t="s">
        <v>24</v>
      </c>
      <c r="B128" s="95">
        <v>132</v>
      </c>
      <c r="C128" s="207">
        <v>0</v>
      </c>
      <c r="D128" s="391"/>
      <c r="E128" s="169">
        <v>0</v>
      </c>
      <c r="F128" s="387"/>
      <c r="G128" s="153" t="s">
        <v>10</v>
      </c>
      <c r="H128" s="7" t="s">
        <v>17</v>
      </c>
      <c r="I128" s="7">
        <v>0</v>
      </c>
      <c r="J128" s="98"/>
    </row>
    <row r="129" spans="1:10" s="386" customFormat="1" ht="16" hidden="1" thickBot="1">
      <c r="A129" s="50" t="s">
        <v>24</v>
      </c>
      <c r="B129" s="95">
        <v>146</v>
      </c>
      <c r="C129" s="207">
        <v>2439162</v>
      </c>
      <c r="D129" s="239"/>
      <c r="E129" s="169">
        <v>0</v>
      </c>
      <c r="F129" s="387"/>
      <c r="G129" s="154" t="s">
        <v>98</v>
      </c>
      <c r="H129" s="147" t="s">
        <v>27</v>
      </c>
      <c r="I129" s="110">
        <f>-E117+E138</f>
        <v>415740.68966999999</v>
      </c>
      <c r="J129" s="107"/>
    </row>
    <row r="130" spans="1:10" s="386" customFormat="1" hidden="1">
      <c r="A130" s="50" t="s">
        <v>151</v>
      </c>
      <c r="B130" s="95"/>
      <c r="C130" s="207"/>
      <c r="D130" s="121"/>
      <c r="E130" s="169">
        <v>0</v>
      </c>
      <c r="F130" s="387"/>
      <c r="G130" s="387"/>
      <c r="H130" s="387"/>
      <c r="I130" s="387"/>
      <c r="J130" s="340">
        <f>SUM(I125:J129)</f>
        <v>0</v>
      </c>
    </row>
    <row r="131" spans="1:10" s="386" customFormat="1" hidden="1">
      <c r="A131" s="141" t="s">
        <v>143</v>
      </c>
      <c r="B131" s="95">
        <v>146</v>
      </c>
      <c r="C131" s="207"/>
      <c r="D131" s="121"/>
      <c r="E131" s="169">
        <v>0</v>
      </c>
      <c r="F131" s="387"/>
      <c r="G131" s="123"/>
      <c r="H131" s="7"/>
      <c r="I131" s="7"/>
      <c r="J131" s="7"/>
    </row>
    <row r="132" spans="1:10" s="386" customFormat="1" hidden="1">
      <c r="A132" s="141" t="s">
        <v>105</v>
      </c>
      <c r="B132" s="95"/>
      <c r="C132" s="207"/>
      <c r="D132" s="121"/>
      <c r="E132" s="227">
        <v>0</v>
      </c>
      <c r="F132" s="387"/>
      <c r="G132" s="123"/>
      <c r="H132" s="7"/>
      <c r="I132" s="12"/>
      <c r="J132" s="12"/>
    </row>
    <row r="133" spans="1:10" s="386" customFormat="1" ht="16" hidden="1" thickBot="1">
      <c r="A133" s="50"/>
      <c r="B133" s="95"/>
      <c r="C133" s="159">
        <f>SUM(C122:C132)</f>
        <v>15170231</v>
      </c>
      <c r="D133" s="142"/>
      <c r="E133" s="208">
        <f>SUM(E122:E132)</f>
        <v>418449.13967</v>
      </c>
      <c r="F133" s="387"/>
      <c r="G133" s="123"/>
      <c r="H133" s="7"/>
      <c r="I133" s="7"/>
      <c r="J133" s="8"/>
    </row>
    <row r="134" spans="1:10" s="386" customFormat="1" ht="16" hidden="1" thickTop="1">
      <c r="A134" s="50"/>
      <c r="B134" s="95"/>
      <c r="C134" s="225">
        <v>15170231</v>
      </c>
      <c r="D134" s="142" t="s">
        <v>161</v>
      </c>
      <c r="E134" s="156">
        <v>0</v>
      </c>
      <c r="F134" s="387"/>
      <c r="G134" s="11"/>
      <c r="H134" s="7"/>
      <c r="I134" s="8"/>
      <c r="J134" s="7"/>
    </row>
    <row r="135" spans="1:10" s="386" customFormat="1" ht="16" hidden="1" thickBot="1">
      <c r="A135" s="50"/>
      <c r="B135" s="95"/>
      <c r="C135" s="231">
        <f>C134-C133</f>
        <v>0</v>
      </c>
      <c r="D135" s="142"/>
      <c r="E135" s="160">
        <f>SUM(E133:E134)</f>
        <v>418449.13967</v>
      </c>
      <c r="F135" s="387"/>
      <c r="G135" s="65" t="s">
        <v>158</v>
      </c>
      <c r="H135" s="7"/>
      <c r="I135" s="7"/>
      <c r="J135" s="7"/>
    </row>
    <row r="136" spans="1:10" s="386" customFormat="1" ht="16" hidden="1" thickTop="1">
      <c r="A136" s="387"/>
      <c r="B136" s="387"/>
      <c r="C136" s="387"/>
      <c r="D136" s="142" t="s">
        <v>87</v>
      </c>
      <c r="E136" s="50">
        <f>E135+E117</f>
        <v>-790817.09125590767</v>
      </c>
      <c r="F136" s="387"/>
      <c r="G136" s="8">
        <f>(E117*(D137/12))+(E135*(D137/24))</f>
        <v>-2708.4461654545416</v>
      </c>
      <c r="H136" s="453"/>
      <c r="I136" s="453"/>
      <c r="J136" s="7"/>
    </row>
    <row r="137" spans="1:10" s="386" customFormat="1" hidden="1">
      <c r="A137" s="387"/>
      <c r="B137" s="387"/>
      <c r="C137" s="50" t="s">
        <v>57</v>
      </c>
      <c r="D137" s="226">
        <v>3.2500000000000001E-2</v>
      </c>
      <c r="E137" s="119">
        <f>ROUND(((E117)+(SUM(E135))/2)*(D137/12),2)</f>
        <v>-2708.45</v>
      </c>
      <c r="F137" s="387"/>
      <c r="G137" s="8"/>
      <c r="H137" s="7"/>
      <c r="I137" s="12"/>
      <c r="J137" s="12"/>
    </row>
    <row r="138" spans="1:10" s="386" customFormat="1" hidden="1">
      <c r="A138" s="387"/>
      <c r="B138" s="387"/>
      <c r="C138" s="50" t="s">
        <v>1</v>
      </c>
      <c r="D138" s="90">
        <f>A120</f>
        <v>41394</v>
      </c>
      <c r="E138" s="50">
        <f>SUM(E136:E137)</f>
        <v>-793525.54125590762</v>
      </c>
      <c r="F138" s="387"/>
      <c r="G138" s="387"/>
    </row>
    <row r="139" spans="1:10" s="386" customFormat="1" ht="16" hidden="1" thickBot="1"/>
    <row r="140" spans="1:10" s="386" customFormat="1" hidden="1">
      <c r="A140" s="73" t="s">
        <v>141</v>
      </c>
      <c r="B140" s="78"/>
      <c r="C140" s="79"/>
      <c r="D140" s="80"/>
      <c r="E140" s="81"/>
      <c r="G140" s="5"/>
      <c r="H140" s="5"/>
      <c r="I140" s="48"/>
      <c r="J140" s="48"/>
    </row>
    <row r="141" spans="1:10" s="386" customFormat="1" hidden="1">
      <c r="A141" s="220">
        <v>41425</v>
      </c>
      <c r="B141" s="137"/>
      <c r="C141" s="11"/>
      <c r="D141" s="138"/>
      <c r="E141" s="77"/>
      <c r="G141" s="5"/>
      <c r="H141" s="5"/>
      <c r="I141" s="48"/>
      <c r="J141" s="48"/>
    </row>
    <row r="142" spans="1:10" s="386" customFormat="1" ht="16" hidden="1" thickBot="1">
      <c r="A142" s="139"/>
      <c r="B142" s="140"/>
      <c r="C142" s="131" t="s">
        <v>21</v>
      </c>
      <c r="D142" s="131" t="s">
        <v>22</v>
      </c>
      <c r="E142" s="128" t="s">
        <v>23</v>
      </c>
      <c r="F142" s="387"/>
      <c r="G142" s="387"/>
      <c r="H142" s="387"/>
      <c r="I142" s="387"/>
      <c r="J142" s="387"/>
    </row>
    <row r="143" spans="1:10" s="386" customFormat="1" hidden="1">
      <c r="A143" s="50" t="s">
        <v>24</v>
      </c>
      <c r="B143" s="95">
        <v>101</v>
      </c>
      <c r="C143" s="207">
        <v>4182901</v>
      </c>
      <c r="D143" s="391">
        <v>3.3950000000000001E-2</v>
      </c>
      <c r="E143" s="169">
        <v>142009.48895</v>
      </c>
      <c r="F143" s="387"/>
      <c r="G143" s="387"/>
      <c r="H143" s="387"/>
      <c r="I143" s="387"/>
      <c r="J143" s="387"/>
    </row>
    <row r="144" spans="1:10" s="386" customFormat="1" ht="16" hidden="1" thickBot="1">
      <c r="A144" s="50" t="s">
        <v>24</v>
      </c>
      <c r="B144" s="95">
        <v>111</v>
      </c>
      <c r="C144" s="207">
        <v>1970725</v>
      </c>
      <c r="D144" s="391">
        <v>3.0599999999999999E-2</v>
      </c>
      <c r="E144" s="169">
        <v>60304.184999999998</v>
      </c>
      <c r="F144" s="387"/>
      <c r="G144" s="123">
        <f>A141</f>
        <v>41425</v>
      </c>
      <c r="H144" s="387"/>
      <c r="I144" s="387"/>
      <c r="J144" s="387"/>
    </row>
    <row r="145" spans="1:10" s="386" customFormat="1" ht="16" hidden="1" thickBot="1">
      <c r="A145" s="50" t="s">
        <v>24</v>
      </c>
      <c r="B145" s="95">
        <v>112</v>
      </c>
      <c r="C145" s="207">
        <v>0</v>
      </c>
      <c r="D145" s="391"/>
      <c r="E145" s="169">
        <v>0</v>
      </c>
      <c r="F145" s="387"/>
      <c r="G145" s="113" t="s">
        <v>25</v>
      </c>
      <c r="H145" s="206"/>
      <c r="I145" s="126" t="s">
        <v>18</v>
      </c>
      <c r="J145" s="126" t="s">
        <v>19</v>
      </c>
    </row>
    <row r="146" spans="1:10" s="386" customFormat="1" hidden="1">
      <c r="A146" s="50" t="s">
        <v>24</v>
      </c>
      <c r="B146" s="95">
        <v>121</v>
      </c>
      <c r="C146" s="207">
        <v>339319</v>
      </c>
      <c r="D146" s="391">
        <v>2.998E-2</v>
      </c>
      <c r="E146" s="169">
        <v>10172.78362</v>
      </c>
      <c r="F146" s="387"/>
      <c r="G146" s="151" t="s">
        <v>28</v>
      </c>
      <c r="H146" s="152" t="s">
        <v>75</v>
      </c>
      <c r="I146" s="152"/>
      <c r="J146" s="97">
        <f>IF(-E158&lt;0,-E158,0)</f>
        <v>0</v>
      </c>
    </row>
    <row r="147" spans="1:10" s="386" customFormat="1" hidden="1">
      <c r="A147" s="50" t="s">
        <v>24</v>
      </c>
      <c r="B147" s="95">
        <v>122</v>
      </c>
      <c r="C147" s="207">
        <v>0</v>
      </c>
      <c r="D147" s="391"/>
      <c r="E147" s="169">
        <v>0</v>
      </c>
      <c r="F147" s="387"/>
      <c r="G147" s="153" t="s">
        <v>29</v>
      </c>
      <c r="H147" s="7" t="s">
        <v>76</v>
      </c>
      <c r="I147" s="7">
        <f>IF(-E158&gt;0,-E158,0)</f>
        <v>1861.39</v>
      </c>
      <c r="J147" s="224"/>
    </row>
    <row r="148" spans="1:10" s="386" customFormat="1" hidden="1">
      <c r="A148" s="50" t="s">
        <v>24</v>
      </c>
      <c r="B148" s="95">
        <v>131</v>
      </c>
      <c r="C148" s="207">
        <v>0</v>
      </c>
      <c r="D148" s="391">
        <v>5.7389999999999997E-2</v>
      </c>
      <c r="E148" s="169">
        <v>0</v>
      </c>
      <c r="F148" s="387"/>
      <c r="G148" s="153" t="s">
        <v>97</v>
      </c>
      <c r="H148" s="7" t="s">
        <v>26</v>
      </c>
      <c r="I148" s="8"/>
      <c r="J148" s="98">
        <f>-E156</f>
        <v>-212486.45757</v>
      </c>
    </row>
    <row r="149" spans="1:10" s="386" customFormat="1" hidden="1">
      <c r="A149" s="50" t="s">
        <v>24</v>
      </c>
      <c r="B149" s="95">
        <v>132</v>
      </c>
      <c r="C149" s="207">
        <v>0</v>
      </c>
      <c r="D149" s="391"/>
      <c r="E149" s="169">
        <v>0</v>
      </c>
      <c r="F149" s="387"/>
      <c r="G149" s="153" t="s">
        <v>10</v>
      </c>
      <c r="H149" s="7" t="s">
        <v>17</v>
      </c>
      <c r="I149" s="7">
        <v>0</v>
      </c>
      <c r="J149" s="98"/>
    </row>
    <row r="150" spans="1:10" s="386" customFormat="1" ht="16" hidden="1" thickBot="1">
      <c r="A150" s="50" t="s">
        <v>24</v>
      </c>
      <c r="B150" s="95">
        <v>146</v>
      </c>
      <c r="C150" s="207">
        <v>1979128</v>
      </c>
      <c r="D150" s="239"/>
      <c r="E150" s="169">
        <v>0</v>
      </c>
      <c r="F150" s="387"/>
      <c r="G150" s="154" t="s">
        <v>98</v>
      </c>
      <c r="H150" s="147" t="s">
        <v>27</v>
      </c>
      <c r="I150" s="110">
        <f>-E138+E159</f>
        <v>210625.06756999996</v>
      </c>
      <c r="J150" s="107"/>
    </row>
    <row r="151" spans="1:10" s="386" customFormat="1" hidden="1">
      <c r="A151" s="50" t="s">
        <v>151</v>
      </c>
      <c r="B151" s="95"/>
      <c r="C151" s="207"/>
      <c r="D151" s="121"/>
      <c r="E151" s="169">
        <v>0</v>
      </c>
      <c r="F151" s="387"/>
      <c r="G151" s="387"/>
      <c r="H151" s="387"/>
      <c r="I151" s="387"/>
      <c r="J151" s="340">
        <f>SUM(I146:J150)</f>
        <v>0</v>
      </c>
    </row>
    <row r="152" spans="1:10" s="386" customFormat="1" hidden="1">
      <c r="A152" s="141" t="s">
        <v>143</v>
      </c>
      <c r="B152" s="95">
        <v>146</v>
      </c>
      <c r="C152" s="207"/>
      <c r="D152" s="121"/>
      <c r="E152" s="169">
        <v>0</v>
      </c>
      <c r="F152" s="387"/>
      <c r="G152" s="123"/>
      <c r="H152" s="7"/>
      <c r="I152" s="7"/>
      <c r="J152" s="7"/>
    </row>
    <row r="153" spans="1:10" s="386" customFormat="1" hidden="1">
      <c r="A153" s="141" t="s">
        <v>105</v>
      </c>
      <c r="B153" s="95"/>
      <c r="C153" s="207"/>
      <c r="D153" s="121"/>
      <c r="E153" s="227">
        <v>0</v>
      </c>
      <c r="F153" s="387"/>
      <c r="G153" s="123"/>
      <c r="H153" s="7"/>
      <c r="I153" s="12"/>
      <c r="J153" s="12"/>
    </row>
    <row r="154" spans="1:10" s="386" customFormat="1" ht="16" hidden="1" thickBot="1">
      <c r="A154" s="50"/>
      <c r="B154" s="95"/>
      <c r="C154" s="159">
        <f>SUM(C143:C153)</f>
        <v>8472073</v>
      </c>
      <c r="D154" s="142"/>
      <c r="E154" s="208">
        <f>SUM(E143:E153)</f>
        <v>212486.45757</v>
      </c>
      <c r="F154" s="387"/>
      <c r="G154" s="123"/>
      <c r="H154" s="7"/>
      <c r="I154" s="7"/>
      <c r="J154" s="8"/>
    </row>
    <row r="155" spans="1:10" s="386" customFormat="1" ht="16" hidden="1" thickTop="1">
      <c r="A155" s="50"/>
      <c r="B155" s="95"/>
      <c r="C155" s="225">
        <v>8472073</v>
      </c>
      <c r="D155" s="142" t="s">
        <v>161</v>
      </c>
      <c r="E155" s="156">
        <v>0</v>
      </c>
      <c r="F155" s="387"/>
      <c r="G155" s="11"/>
      <c r="H155" s="7"/>
      <c r="I155" s="8"/>
      <c r="J155" s="7"/>
    </row>
    <row r="156" spans="1:10" s="386" customFormat="1" ht="16" hidden="1" thickBot="1">
      <c r="A156" s="50"/>
      <c r="B156" s="95"/>
      <c r="C156" s="231">
        <f>C155-C154</f>
        <v>0</v>
      </c>
      <c r="D156" s="142"/>
      <c r="E156" s="160">
        <f>SUM(E154:E155)</f>
        <v>212486.45757</v>
      </c>
      <c r="F156" s="387"/>
      <c r="G156" s="65" t="s">
        <v>158</v>
      </c>
      <c r="H156" s="7"/>
      <c r="I156" s="7"/>
      <c r="J156" s="7"/>
    </row>
    <row r="157" spans="1:10" s="386" customFormat="1" ht="16" hidden="1" thickTop="1">
      <c r="A157" s="387"/>
      <c r="B157" s="387"/>
      <c r="C157" s="387"/>
      <c r="D157" s="142" t="s">
        <v>87</v>
      </c>
      <c r="E157" s="50">
        <f>E156+E138</f>
        <v>-581039.08368590765</v>
      </c>
      <c r="F157" s="387"/>
      <c r="G157" s="8">
        <f>(E138*(D158/12))+(E156*(D158/24))</f>
        <v>-1861.389596275375</v>
      </c>
      <c r="H157" s="455"/>
      <c r="I157" s="455"/>
      <c r="J157" s="7"/>
    </row>
    <row r="158" spans="1:10" s="386" customFormat="1" hidden="1">
      <c r="A158" s="387"/>
      <c r="B158" s="387"/>
      <c r="C158" s="50" t="s">
        <v>57</v>
      </c>
      <c r="D158" s="226">
        <v>3.2500000000000001E-2</v>
      </c>
      <c r="E158" s="119">
        <f>ROUND(((E138)+(SUM(E156))/2)*(D158/12),2)</f>
        <v>-1861.39</v>
      </c>
      <c r="F158" s="387"/>
      <c r="G158" s="8"/>
      <c r="H158" s="7"/>
      <c r="I158" s="12"/>
      <c r="J158" s="12"/>
    </row>
    <row r="159" spans="1:10" s="386" customFormat="1" hidden="1">
      <c r="A159" s="387"/>
      <c r="B159" s="387"/>
      <c r="C159" s="50" t="s">
        <v>1</v>
      </c>
      <c r="D159" s="90">
        <f>A141</f>
        <v>41425</v>
      </c>
      <c r="E159" s="50">
        <f>SUM(E157:E158)</f>
        <v>-582900.47368590767</v>
      </c>
      <c r="F159" s="387"/>
      <c r="G159" s="248"/>
    </row>
    <row r="160" spans="1:10" s="386" customFormat="1" ht="16" hidden="1" thickBot="1"/>
    <row r="161" spans="1:10" s="386" customFormat="1" hidden="1">
      <c r="A161" s="73" t="s">
        <v>141</v>
      </c>
      <c r="B161" s="78"/>
      <c r="C161" s="79"/>
      <c r="D161" s="80"/>
      <c r="E161" s="81"/>
      <c r="G161" s="5"/>
      <c r="H161" s="5"/>
      <c r="I161" s="48"/>
      <c r="J161" s="48"/>
    </row>
    <row r="162" spans="1:10" s="386" customFormat="1" hidden="1">
      <c r="A162" s="220">
        <v>41426</v>
      </c>
      <c r="B162" s="137"/>
      <c r="C162" s="11"/>
      <c r="D162" s="138"/>
      <c r="E162" s="77"/>
      <c r="G162" s="5"/>
      <c r="H162" s="5"/>
      <c r="I162" s="48"/>
      <c r="J162" s="48"/>
    </row>
    <row r="163" spans="1:10" s="386" customFormat="1" ht="16" hidden="1" thickBot="1">
      <c r="A163" s="139"/>
      <c r="B163" s="140"/>
      <c r="C163" s="131" t="s">
        <v>21</v>
      </c>
      <c r="D163" s="131" t="s">
        <v>22</v>
      </c>
      <c r="E163" s="128" t="s">
        <v>23</v>
      </c>
      <c r="F163" s="387"/>
      <c r="G163" s="387"/>
      <c r="H163" s="387"/>
      <c r="I163" s="387"/>
      <c r="J163" s="387"/>
    </row>
    <row r="164" spans="1:10" s="386" customFormat="1" hidden="1">
      <c r="A164" s="50" t="s">
        <v>24</v>
      </c>
      <c r="B164" s="95">
        <v>101</v>
      </c>
      <c r="C164" s="207">
        <v>2800295</v>
      </c>
      <c r="D164" s="391">
        <v>3.3950000000000001E-2</v>
      </c>
      <c r="E164" s="169">
        <v>95070.015249999997</v>
      </c>
      <c r="F164" s="387"/>
      <c r="G164" s="387"/>
      <c r="H164" s="387"/>
      <c r="I164" s="387"/>
      <c r="J164" s="387"/>
    </row>
    <row r="165" spans="1:10" s="386" customFormat="1" ht="16" hidden="1" thickBot="1">
      <c r="A165" s="50" t="s">
        <v>24</v>
      </c>
      <c r="B165" s="95">
        <v>111</v>
      </c>
      <c r="C165" s="207">
        <v>1678252</v>
      </c>
      <c r="D165" s="391">
        <v>3.0599999999999999E-2</v>
      </c>
      <c r="E165" s="169">
        <v>51354.511200000001</v>
      </c>
      <c r="F165" s="387"/>
      <c r="G165" s="123">
        <f>A162</f>
        <v>41426</v>
      </c>
      <c r="H165" s="387"/>
      <c r="I165" s="387"/>
      <c r="J165" s="387"/>
    </row>
    <row r="166" spans="1:10" s="386" customFormat="1" ht="16" hidden="1" thickBot="1">
      <c r="A166" s="50" t="s">
        <v>24</v>
      </c>
      <c r="B166" s="95">
        <v>112</v>
      </c>
      <c r="C166" s="207">
        <v>0</v>
      </c>
      <c r="D166" s="391"/>
      <c r="E166" s="169">
        <v>0</v>
      </c>
      <c r="F166" s="387"/>
      <c r="G166" s="113" t="s">
        <v>25</v>
      </c>
      <c r="H166" s="206"/>
      <c r="I166" s="126" t="s">
        <v>18</v>
      </c>
      <c r="J166" s="126" t="s">
        <v>19</v>
      </c>
    </row>
    <row r="167" spans="1:10" s="386" customFormat="1" hidden="1">
      <c r="A167" s="50" t="s">
        <v>24</v>
      </c>
      <c r="B167" s="95">
        <v>121</v>
      </c>
      <c r="C167" s="207">
        <v>339158</v>
      </c>
      <c r="D167" s="391">
        <v>2.998E-2</v>
      </c>
      <c r="E167" s="169">
        <v>10167.956840000001</v>
      </c>
      <c r="F167" s="387"/>
      <c r="G167" s="151" t="s">
        <v>28</v>
      </c>
      <c r="H167" s="152" t="s">
        <v>75</v>
      </c>
      <c r="I167" s="152"/>
      <c r="J167" s="97">
        <f>IF(-E179&lt;0,-E179,0)</f>
        <v>0</v>
      </c>
    </row>
    <row r="168" spans="1:10" s="386" customFormat="1" hidden="1">
      <c r="A168" s="50" t="s">
        <v>24</v>
      </c>
      <c r="B168" s="95">
        <v>122</v>
      </c>
      <c r="C168" s="207">
        <v>0</v>
      </c>
      <c r="D168" s="391"/>
      <c r="E168" s="169">
        <v>0</v>
      </c>
      <c r="F168" s="387"/>
      <c r="G168" s="153" t="s">
        <v>29</v>
      </c>
      <c r="H168" s="7" t="s">
        <v>76</v>
      </c>
      <c r="I168" s="7">
        <f>IF(-E179&gt;0,-E179,0)</f>
        <v>1366.64</v>
      </c>
      <c r="J168" s="224"/>
    </row>
    <row r="169" spans="1:10" s="386" customFormat="1" hidden="1">
      <c r="A169" s="50" t="s">
        <v>24</v>
      </c>
      <c r="B169" s="95">
        <v>131</v>
      </c>
      <c r="C169" s="207">
        <v>0</v>
      </c>
      <c r="D169" s="391">
        <v>5.7389999999999997E-2</v>
      </c>
      <c r="E169" s="169">
        <v>0</v>
      </c>
      <c r="F169" s="387"/>
      <c r="G169" s="153" t="s">
        <v>97</v>
      </c>
      <c r="H169" s="7" t="s">
        <v>26</v>
      </c>
      <c r="I169" s="8"/>
      <c r="J169" s="98">
        <f>-E177</f>
        <v>-156592.48329</v>
      </c>
    </row>
    <row r="170" spans="1:10" s="386" customFormat="1" hidden="1">
      <c r="A170" s="50" t="s">
        <v>24</v>
      </c>
      <c r="B170" s="95">
        <v>132</v>
      </c>
      <c r="C170" s="207">
        <v>0</v>
      </c>
      <c r="D170" s="391"/>
      <c r="E170" s="169">
        <v>0</v>
      </c>
      <c r="F170" s="387"/>
      <c r="G170" s="153" t="s">
        <v>10</v>
      </c>
      <c r="H170" s="7" t="s">
        <v>17</v>
      </c>
      <c r="I170" s="7">
        <v>0</v>
      </c>
      <c r="J170" s="98"/>
    </row>
    <row r="171" spans="1:10" s="386" customFormat="1" ht="16" hidden="1" thickBot="1">
      <c r="A171" s="50" t="s">
        <v>24</v>
      </c>
      <c r="B171" s="95">
        <v>146</v>
      </c>
      <c r="C171" s="207">
        <v>1585130</v>
      </c>
      <c r="D171" s="239"/>
      <c r="E171" s="169">
        <v>0</v>
      </c>
      <c r="F171" s="387"/>
      <c r="G171" s="154" t="s">
        <v>98</v>
      </c>
      <c r="H171" s="147" t="s">
        <v>27</v>
      </c>
      <c r="I171" s="110">
        <f>-E159+E180</f>
        <v>155225.84328999999</v>
      </c>
      <c r="J171" s="107"/>
    </row>
    <row r="172" spans="1:10" s="386" customFormat="1" hidden="1">
      <c r="A172" s="50" t="s">
        <v>151</v>
      </c>
      <c r="B172" s="95"/>
      <c r="C172" s="207"/>
      <c r="D172" s="121"/>
      <c r="E172" s="169">
        <v>0</v>
      </c>
      <c r="F172" s="387"/>
      <c r="G172" s="387"/>
      <c r="H172" s="387"/>
      <c r="I172" s="387"/>
      <c r="J172" s="340">
        <f>SUM(I167:J171)</f>
        <v>0</v>
      </c>
    </row>
    <row r="173" spans="1:10" s="386" customFormat="1" hidden="1">
      <c r="A173" s="141" t="s">
        <v>143</v>
      </c>
      <c r="B173" s="95">
        <v>146</v>
      </c>
      <c r="C173" s="207"/>
      <c r="D173" s="121"/>
      <c r="E173" s="169">
        <v>0</v>
      </c>
      <c r="F173" s="387"/>
      <c r="G173" s="123"/>
      <c r="H173" s="7"/>
      <c r="I173" s="7"/>
      <c r="J173" s="7"/>
    </row>
    <row r="174" spans="1:10" s="386" customFormat="1" hidden="1">
      <c r="A174" s="141" t="s">
        <v>105</v>
      </c>
      <c r="B174" s="95"/>
      <c r="C174" s="207"/>
      <c r="D174" s="121"/>
      <c r="E174" s="227">
        <v>0</v>
      </c>
      <c r="F174" s="387"/>
      <c r="G174" s="123"/>
      <c r="H174" s="7"/>
      <c r="I174" s="12"/>
      <c r="J174" s="12"/>
    </row>
    <row r="175" spans="1:10" s="386" customFormat="1" ht="16" hidden="1" thickBot="1">
      <c r="A175" s="50"/>
      <c r="B175" s="95"/>
      <c r="C175" s="159">
        <f>SUM(C164:C174)</f>
        <v>6402835</v>
      </c>
      <c r="D175" s="142"/>
      <c r="E175" s="208">
        <f>SUM(E164:E174)</f>
        <v>156592.48329</v>
      </c>
      <c r="F175" s="387"/>
      <c r="G175" s="123"/>
      <c r="H175" s="7"/>
      <c r="I175" s="7"/>
      <c r="J175" s="8"/>
    </row>
    <row r="176" spans="1:10" s="386" customFormat="1" ht="16" hidden="1" thickTop="1">
      <c r="A176" s="50"/>
      <c r="B176" s="95"/>
      <c r="C176" s="225">
        <v>6402835</v>
      </c>
      <c r="D176" s="142" t="s">
        <v>161</v>
      </c>
      <c r="E176" s="156">
        <v>0</v>
      </c>
      <c r="F176" s="387"/>
      <c r="G176" s="11"/>
      <c r="H176" s="7"/>
      <c r="I176" s="8"/>
      <c r="J176" s="7"/>
    </row>
    <row r="177" spans="1:10" s="386" customFormat="1" ht="16" hidden="1" thickBot="1">
      <c r="A177" s="50"/>
      <c r="B177" s="95"/>
      <c r="C177" s="231">
        <f>C176-C175</f>
        <v>0</v>
      </c>
      <c r="D177" s="142"/>
      <c r="E177" s="160">
        <f>SUM(E175:E176)</f>
        <v>156592.48329</v>
      </c>
      <c r="F177" s="387"/>
      <c r="G177" s="65" t="s">
        <v>158</v>
      </c>
      <c r="H177" s="7"/>
      <c r="I177" s="7"/>
      <c r="J177" s="7"/>
    </row>
    <row r="178" spans="1:10" s="386" customFormat="1" ht="16" hidden="1" thickTop="1">
      <c r="A178" s="387"/>
      <c r="B178" s="387"/>
      <c r="C178" s="387"/>
      <c r="D178" s="142" t="s">
        <v>87</v>
      </c>
      <c r="E178" s="50">
        <f>E177+E159</f>
        <v>-426307.99039590766</v>
      </c>
      <c r="F178" s="387"/>
      <c r="G178" s="8">
        <f>(E159*(D179/12))+(E177*(D179/24))</f>
        <v>-1366.6364617774584</v>
      </c>
      <c r="H178" s="456"/>
      <c r="I178" s="456"/>
      <c r="J178" s="7"/>
    </row>
    <row r="179" spans="1:10" s="386" customFormat="1" hidden="1">
      <c r="A179" s="387"/>
      <c r="B179" s="387"/>
      <c r="C179" s="50" t="s">
        <v>57</v>
      </c>
      <c r="D179" s="226">
        <v>3.2500000000000001E-2</v>
      </c>
      <c r="E179" s="119">
        <f>ROUND(((E159)+(SUM(E177))/2)*(D179/12),2)</f>
        <v>-1366.64</v>
      </c>
      <c r="F179" s="387"/>
      <c r="G179" s="8"/>
      <c r="H179" s="7"/>
      <c r="I179" s="12"/>
      <c r="J179" s="12"/>
    </row>
    <row r="180" spans="1:10" s="386" customFormat="1" hidden="1">
      <c r="A180" s="387"/>
      <c r="B180" s="387"/>
      <c r="C180" s="50" t="s">
        <v>1</v>
      </c>
      <c r="D180" s="90">
        <v>41455</v>
      </c>
      <c r="E180" s="50">
        <f>SUM(E178:E179)</f>
        <v>-427674.63039590768</v>
      </c>
      <c r="F180" s="387"/>
      <c r="G180" s="248"/>
    </row>
    <row r="181" spans="1:10" s="386" customFormat="1" ht="16" hidden="1" thickBot="1"/>
    <row r="182" spans="1:10" s="386" customFormat="1" hidden="1">
      <c r="A182" s="73" t="s">
        <v>141</v>
      </c>
      <c r="B182" s="78"/>
      <c r="C182" s="79"/>
      <c r="D182" s="80"/>
      <c r="E182" s="81"/>
      <c r="G182" s="5"/>
      <c r="H182" s="5"/>
      <c r="I182" s="48"/>
      <c r="J182" s="48"/>
    </row>
    <row r="183" spans="1:10" s="386" customFormat="1" hidden="1">
      <c r="A183" s="220">
        <v>41456</v>
      </c>
      <c r="B183" s="137"/>
      <c r="C183" s="11"/>
      <c r="D183" s="138"/>
      <c r="E183" s="77"/>
      <c r="G183" s="5"/>
      <c r="H183" s="5"/>
      <c r="I183" s="48"/>
      <c r="J183" s="48"/>
    </row>
    <row r="184" spans="1:10" s="386" customFormat="1" ht="16" hidden="1" thickBot="1">
      <c r="A184" s="139"/>
      <c r="B184" s="140"/>
      <c r="C184" s="131" t="s">
        <v>21</v>
      </c>
      <c r="D184" s="131" t="s">
        <v>22</v>
      </c>
      <c r="E184" s="128" t="s">
        <v>23</v>
      </c>
      <c r="F184" s="387"/>
      <c r="G184" s="387"/>
      <c r="H184" s="387"/>
      <c r="I184" s="387"/>
      <c r="J184" s="387"/>
    </row>
    <row r="185" spans="1:10" s="386" customFormat="1" hidden="1">
      <c r="A185" s="50" t="s">
        <v>24</v>
      </c>
      <c r="B185" s="95">
        <v>101</v>
      </c>
      <c r="C185" s="207">
        <v>2082299</v>
      </c>
      <c r="D185" s="391">
        <v>3.3950000000000001E-2</v>
      </c>
      <c r="E185" s="169">
        <v>70694.051050000009</v>
      </c>
      <c r="F185" s="387"/>
      <c r="G185" s="387"/>
      <c r="H185" s="387"/>
      <c r="I185" s="387"/>
      <c r="J185" s="387"/>
    </row>
    <row r="186" spans="1:10" s="386" customFormat="1" ht="16" hidden="1" thickBot="1">
      <c r="A186" s="50" t="s">
        <v>24</v>
      </c>
      <c r="B186" s="95">
        <v>111</v>
      </c>
      <c r="C186" s="207">
        <v>1140112</v>
      </c>
      <c r="D186" s="391">
        <v>3.0599999999999999E-2</v>
      </c>
      <c r="E186" s="169">
        <v>34887.427199999998</v>
      </c>
      <c r="F186" s="387"/>
      <c r="G186" s="123">
        <f>A183</f>
        <v>41456</v>
      </c>
      <c r="H186" s="387"/>
      <c r="I186" s="387"/>
      <c r="J186" s="387"/>
    </row>
    <row r="187" spans="1:10" s="386" customFormat="1" ht="16" hidden="1" thickBot="1">
      <c r="A187" s="50" t="s">
        <v>24</v>
      </c>
      <c r="B187" s="95">
        <v>112</v>
      </c>
      <c r="C187" s="207">
        <v>0</v>
      </c>
      <c r="D187" s="391"/>
      <c r="E187" s="169">
        <v>0</v>
      </c>
      <c r="F187" s="387"/>
      <c r="G187" s="113" t="s">
        <v>25</v>
      </c>
      <c r="H187" s="206"/>
      <c r="I187" s="126" t="s">
        <v>18</v>
      </c>
      <c r="J187" s="126" t="s">
        <v>19</v>
      </c>
    </row>
    <row r="188" spans="1:10" s="386" customFormat="1" hidden="1">
      <c r="A188" s="50" t="s">
        <v>24</v>
      </c>
      <c r="B188" s="95">
        <v>121</v>
      </c>
      <c r="C188" s="207">
        <v>304732</v>
      </c>
      <c r="D188" s="391">
        <v>2.998E-2</v>
      </c>
      <c r="E188" s="169">
        <v>9135.8653599999998</v>
      </c>
      <c r="F188" s="387"/>
      <c r="G188" s="151" t="s">
        <v>28</v>
      </c>
      <c r="H188" s="152" t="s">
        <v>75</v>
      </c>
      <c r="I188" s="152"/>
      <c r="J188" s="97">
        <f>IF(-E200&lt;0,-E200,0)</f>
        <v>0</v>
      </c>
    </row>
    <row r="189" spans="1:10" s="386" customFormat="1" hidden="1">
      <c r="A189" s="50" t="s">
        <v>24</v>
      </c>
      <c r="B189" s="95">
        <v>122</v>
      </c>
      <c r="C189" s="207">
        <v>0</v>
      </c>
      <c r="D189" s="391"/>
      <c r="E189" s="169">
        <v>0</v>
      </c>
      <c r="F189" s="387"/>
      <c r="G189" s="153" t="s">
        <v>29</v>
      </c>
      <c r="H189" s="7" t="s">
        <v>76</v>
      </c>
      <c r="I189" s="7">
        <f>IF(-E200&gt;0,-E200,0)</f>
        <v>1002.94</v>
      </c>
      <c r="J189" s="224"/>
    </row>
    <row r="190" spans="1:10" s="386" customFormat="1" hidden="1">
      <c r="A190" s="50" t="s">
        <v>24</v>
      </c>
      <c r="B190" s="95">
        <v>131</v>
      </c>
      <c r="C190" s="207">
        <v>0</v>
      </c>
      <c r="D190" s="391">
        <v>5.7389999999999997E-2</v>
      </c>
      <c r="E190" s="169">
        <v>0</v>
      </c>
      <c r="F190" s="387"/>
      <c r="G190" s="153" t="s">
        <v>97</v>
      </c>
      <c r="H190" s="7" t="s">
        <v>26</v>
      </c>
      <c r="I190" s="8"/>
      <c r="J190" s="98">
        <f>-E198</f>
        <v>-114717.34361000001</v>
      </c>
    </row>
    <row r="191" spans="1:10" s="386" customFormat="1" hidden="1">
      <c r="A191" s="50" t="s">
        <v>24</v>
      </c>
      <c r="B191" s="95">
        <v>132</v>
      </c>
      <c r="C191" s="207">
        <v>0</v>
      </c>
      <c r="D191" s="391"/>
      <c r="E191" s="169">
        <v>0</v>
      </c>
      <c r="F191" s="387"/>
      <c r="G191" s="153" t="s">
        <v>10</v>
      </c>
      <c r="H191" s="7" t="s">
        <v>17</v>
      </c>
      <c r="I191" s="7">
        <v>0</v>
      </c>
      <c r="J191" s="98"/>
    </row>
    <row r="192" spans="1:10" s="386" customFormat="1" ht="16" hidden="1" thickBot="1">
      <c r="A192" s="50" t="s">
        <v>24</v>
      </c>
      <c r="B192" s="95">
        <v>146</v>
      </c>
      <c r="C192" s="207">
        <v>1657043</v>
      </c>
      <c r="D192" s="239"/>
      <c r="E192" s="169">
        <v>0</v>
      </c>
      <c r="F192" s="387"/>
      <c r="G192" s="154" t="s">
        <v>98</v>
      </c>
      <c r="H192" s="147" t="s">
        <v>27</v>
      </c>
      <c r="I192" s="110">
        <f>-E180+E201</f>
        <v>113714.40360999998</v>
      </c>
      <c r="J192" s="107"/>
    </row>
    <row r="193" spans="1:10" s="386" customFormat="1" hidden="1">
      <c r="A193" s="50" t="s">
        <v>151</v>
      </c>
      <c r="B193" s="95"/>
      <c r="C193" s="207"/>
      <c r="D193" s="121"/>
      <c r="E193" s="169">
        <v>0</v>
      </c>
      <c r="F193" s="387"/>
      <c r="G193" s="387"/>
      <c r="H193" s="387"/>
      <c r="I193" s="387"/>
      <c r="J193" s="340">
        <f>SUM(I188:J192)</f>
        <v>0</v>
      </c>
    </row>
    <row r="194" spans="1:10" s="386" customFormat="1" hidden="1">
      <c r="A194" s="141" t="s">
        <v>143</v>
      </c>
      <c r="B194" s="95">
        <v>146</v>
      </c>
      <c r="C194" s="207"/>
      <c r="D194" s="121"/>
      <c r="E194" s="169">
        <v>0</v>
      </c>
      <c r="F194" s="387"/>
      <c r="G194" s="123"/>
      <c r="H194" s="7"/>
      <c r="I194" s="7"/>
      <c r="J194" s="7"/>
    </row>
    <row r="195" spans="1:10" s="386" customFormat="1" hidden="1">
      <c r="A195" s="141" t="s">
        <v>105</v>
      </c>
      <c r="B195" s="95"/>
      <c r="C195" s="207"/>
      <c r="D195" s="121"/>
      <c r="E195" s="227">
        <v>0</v>
      </c>
      <c r="F195" s="387"/>
      <c r="G195" s="123"/>
      <c r="H195" s="7"/>
      <c r="I195" s="12"/>
      <c r="J195" s="12"/>
    </row>
    <row r="196" spans="1:10" s="386" customFormat="1" ht="16" hidden="1" thickBot="1">
      <c r="A196" s="50"/>
      <c r="B196" s="95"/>
      <c r="C196" s="159">
        <f>SUM(C185:C195)</f>
        <v>5184186</v>
      </c>
      <c r="D196" s="142"/>
      <c r="E196" s="208">
        <f>SUM(E185:E195)</f>
        <v>114717.34361000001</v>
      </c>
      <c r="F196" s="387"/>
      <c r="G196" s="123"/>
      <c r="H196" s="7"/>
      <c r="I196" s="7"/>
      <c r="J196" s="8"/>
    </row>
    <row r="197" spans="1:10" s="386" customFormat="1" ht="16" hidden="1" thickTop="1">
      <c r="A197" s="50"/>
      <c r="B197" s="95"/>
      <c r="C197" s="225">
        <v>5184186</v>
      </c>
      <c r="D197" s="142" t="s">
        <v>161</v>
      </c>
      <c r="E197" s="156">
        <v>0</v>
      </c>
      <c r="F197" s="387"/>
      <c r="G197" s="11"/>
      <c r="H197" s="7"/>
      <c r="I197" s="8"/>
      <c r="J197" s="7"/>
    </row>
    <row r="198" spans="1:10" s="386" customFormat="1" ht="16" hidden="1" thickBot="1">
      <c r="A198" s="50"/>
      <c r="B198" s="95"/>
      <c r="C198" s="231">
        <f>C197-C196</f>
        <v>0</v>
      </c>
      <c r="D198" s="142"/>
      <c r="E198" s="160">
        <f>SUM(E196:E197)</f>
        <v>114717.34361000001</v>
      </c>
      <c r="F198" s="387"/>
      <c r="G198" s="65" t="s">
        <v>158</v>
      </c>
      <c r="H198" s="7"/>
      <c r="I198" s="7"/>
      <c r="J198" s="7"/>
    </row>
    <row r="199" spans="1:10" s="386" customFormat="1" ht="16" hidden="1" thickTop="1">
      <c r="A199" s="387"/>
      <c r="B199" s="387"/>
      <c r="C199" s="387"/>
      <c r="D199" s="142" t="s">
        <v>87</v>
      </c>
      <c r="E199" s="50">
        <f>E198+E180</f>
        <v>-312957.28678590769</v>
      </c>
      <c r="F199" s="387"/>
      <c r="G199" s="8">
        <f>(E180*(D200/12))+(E198*(D200/24))</f>
        <v>-1002.9390545170418</v>
      </c>
      <c r="H199" s="457"/>
      <c r="I199" s="457"/>
      <c r="J199" s="7"/>
    </row>
    <row r="200" spans="1:10" s="386" customFormat="1" hidden="1">
      <c r="A200" s="387"/>
      <c r="B200" s="387"/>
      <c r="C200" s="50" t="s">
        <v>57</v>
      </c>
      <c r="D200" s="226">
        <v>3.2500000000000001E-2</v>
      </c>
      <c r="E200" s="119">
        <f>ROUND(((E180)+(SUM(E198))/2)*(D200/12),2)</f>
        <v>-1002.94</v>
      </c>
      <c r="F200" s="387"/>
      <c r="G200" s="8"/>
      <c r="H200" s="7"/>
      <c r="I200" s="12"/>
      <c r="J200" s="12"/>
    </row>
    <row r="201" spans="1:10" s="386" customFormat="1" hidden="1">
      <c r="A201" s="387"/>
      <c r="B201" s="387"/>
      <c r="C201" s="50" t="s">
        <v>1</v>
      </c>
      <c r="D201" s="90">
        <f>A183</f>
        <v>41456</v>
      </c>
      <c r="E201" s="50">
        <f>SUM(E199:E200)</f>
        <v>-313960.2267859077</v>
      </c>
      <c r="F201" s="387"/>
      <c r="G201" s="248"/>
    </row>
    <row r="202" spans="1:10" ht="16" hidden="1" thickBot="1"/>
    <row r="203" spans="1:10" s="386" customFormat="1" hidden="1">
      <c r="A203" s="73" t="s">
        <v>141</v>
      </c>
      <c r="B203" s="78"/>
      <c r="C203" s="79"/>
      <c r="D203" s="80"/>
      <c r="E203" s="81"/>
      <c r="G203" s="5"/>
      <c r="H203" s="5"/>
      <c r="I203" s="48"/>
      <c r="J203" s="48"/>
    </row>
    <row r="204" spans="1:10" s="386" customFormat="1" hidden="1">
      <c r="A204" s="220">
        <v>41487</v>
      </c>
      <c r="B204" s="137"/>
      <c r="C204" s="11"/>
      <c r="D204" s="138"/>
      <c r="E204" s="77"/>
      <c r="G204" s="5"/>
      <c r="H204" s="5"/>
      <c r="I204" s="48"/>
      <c r="J204" s="48"/>
    </row>
    <row r="205" spans="1:10" s="386" customFormat="1" ht="16" hidden="1" thickBot="1">
      <c r="A205" s="139"/>
      <c r="B205" s="140"/>
      <c r="C205" s="131" t="s">
        <v>21</v>
      </c>
      <c r="D205" s="131" t="s">
        <v>22</v>
      </c>
      <c r="E205" s="128" t="s">
        <v>23</v>
      </c>
      <c r="F205" s="387"/>
      <c r="G205" s="387"/>
      <c r="H205" s="387"/>
      <c r="I205" s="387"/>
      <c r="J205" s="387"/>
    </row>
    <row r="206" spans="1:10" s="386" customFormat="1" hidden="1">
      <c r="A206" s="50" t="s">
        <v>24</v>
      </c>
      <c r="B206" s="95">
        <v>101</v>
      </c>
      <c r="C206" s="207">
        <v>2046635</v>
      </c>
      <c r="D206" s="391">
        <v>3.3950000000000001E-2</v>
      </c>
      <c r="E206" s="169">
        <v>69483.258249999999</v>
      </c>
      <c r="F206" s="387"/>
      <c r="G206" s="387"/>
      <c r="H206" s="387"/>
      <c r="I206" s="387"/>
      <c r="J206" s="387"/>
    </row>
    <row r="207" spans="1:10" s="386" customFormat="1" ht="16" hidden="1" thickBot="1">
      <c r="A207" s="50" t="s">
        <v>24</v>
      </c>
      <c r="B207" s="95">
        <v>111</v>
      </c>
      <c r="C207" s="207">
        <v>1287109</v>
      </c>
      <c r="D207" s="391">
        <v>3.0599999999999999E-2</v>
      </c>
      <c r="E207" s="169">
        <v>39385.535400000001</v>
      </c>
      <c r="F207" s="387"/>
      <c r="G207" s="123">
        <f>A204</f>
        <v>41487</v>
      </c>
      <c r="H207" s="387"/>
      <c r="I207" s="387"/>
      <c r="J207" s="387"/>
    </row>
    <row r="208" spans="1:10" s="386" customFormat="1" ht="16" hidden="1" thickBot="1">
      <c r="A208" s="50" t="s">
        <v>24</v>
      </c>
      <c r="B208" s="95">
        <v>112</v>
      </c>
      <c r="C208" s="207">
        <v>0</v>
      </c>
      <c r="D208" s="391"/>
      <c r="E208" s="169">
        <v>0</v>
      </c>
      <c r="F208" s="387"/>
      <c r="G208" s="113" t="s">
        <v>25</v>
      </c>
      <c r="H208" s="206"/>
      <c r="I208" s="126" t="s">
        <v>18</v>
      </c>
      <c r="J208" s="126" t="s">
        <v>19</v>
      </c>
    </row>
    <row r="209" spans="1:10" s="386" customFormat="1" hidden="1">
      <c r="A209" s="50" t="s">
        <v>24</v>
      </c>
      <c r="B209" s="95">
        <v>121</v>
      </c>
      <c r="C209" s="207">
        <v>364418</v>
      </c>
      <c r="D209" s="391">
        <v>2.998E-2</v>
      </c>
      <c r="E209" s="169">
        <v>10925.25164</v>
      </c>
      <c r="F209" s="387"/>
      <c r="G209" s="151" t="s">
        <v>28</v>
      </c>
      <c r="H209" s="152" t="s">
        <v>75</v>
      </c>
      <c r="I209" s="152"/>
      <c r="J209" s="97">
        <f>IF(-E221&lt;0,-E221,0)</f>
        <v>0</v>
      </c>
    </row>
    <row r="210" spans="1:10" s="386" customFormat="1" hidden="1">
      <c r="A210" s="50" t="s">
        <v>24</v>
      </c>
      <c r="B210" s="95">
        <v>122</v>
      </c>
      <c r="C210" s="207">
        <v>0</v>
      </c>
      <c r="D210" s="391"/>
      <c r="E210" s="169">
        <v>0</v>
      </c>
      <c r="F210" s="387"/>
      <c r="G210" s="153" t="s">
        <v>29</v>
      </c>
      <c r="H210" s="7" t="s">
        <v>76</v>
      </c>
      <c r="I210" s="7">
        <f>IF(-E221&gt;0,-E221,0)</f>
        <v>688.09</v>
      </c>
      <c r="J210" s="224"/>
    </row>
    <row r="211" spans="1:10" s="386" customFormat="1" hidden="1">
      <c r="A211" s="50" t="s">
        <v>24</v>
      </c>
      <c r="B211" s="95">
        <v>131</v>
      </c>
      <c r="C211" s="207">
        <v>0</v>
      </c>
      <c r="D211" s="391">
        <v>5.7389999999999997E-2</v>
      </c>
      <c r="E211" s="169">
        <v>0</v>
      </c>
      <c r="F211" s="387"/>
      <c r="G211" s="153" t="s">
        <v>97</v>
      </c>
      <c r="H211" s="7" t="s">
        <v>26</v>
      </c>
      <c r="I211" s="8"/>
      <c r="J211" s="98">
        <f>-E219</f>
        <v>-119794.04529000001</v>
      </c>
    </row>
    <row r="212" spans="1:10" s="386" customFormat="1" hidden="1">
      <c r="A212" s="50" t="s">
        <v>24</v>
      </c>
      <c r="B212" s="95">
        <v>132</v>
      </c>
      <c r="C212" s="207">
        <v>0</v>
      </c>
      <c r="D212" s="391"/>
      <c r="E212" s="169">
        <v>0</v>
      </c>
      <c r="F212" s="387"/>
      <c r="G212" s="153" t="s">
        <v>10</v>
      </c>
      <c r="H212" s="7" t="s">
        <v>17</v>
      </c>
      <c r="I212" s="7">
        <v>0</v>
      </c>
      <c r="J212" s="98"/>
    </row>
    <row r="213" spans="1:10" s="386" customFormat="1" ht="16" hidden="1" thickBot="1">
      <c r="A213" s="50" t="s">
        <v>24</v>
      </c>
      <c r="B213" s="95">
        <v>146</v>
      </c>
      <c r="C213" s="207">
        <v>1709756</v>
      </c>
      <c r="D213" s="239"/>
      <c r="E213" s="169">
        <v>0</v>
      </c>
      <c r="F213" s="387"/>
      <c r="G213" s="154" t="s">
        <v>98</v>
      </c>
      <c r="H213" s="147" t="s">
        <v>27</v>
      </c>
      <c r="I213" s="110">
        <f>-E201+E222</f>
        <v>119105.95529000001</v>
      </c>
      <c r="J213" s="107"/>
    </row>
    <row r="214" spans="1:10" s="386" customFormat="1" hidden="1">
      <c r="A214" s="50" t="s">
        <v>151</v>
      </c>
      <c r="B214" s="95"/>
      <c r="C214" s="207"/>
      <c r="D214" s="121"/>
      <c r="E214" s="169">
        <v>0</v>
      </c>
      <c r="F214" s="387"/>
      <c r="G214" s="387"/>
      <c r="H214" s="387"/>
      <c r="I214" s="387"/>
      <c r="J214" s="340">
        <f>SUM(I209:J213)</f>
        <v>0</v>
      </c>
    </row>
    <row r="215" spans="1:10" s="386" customFormat="1" hidden="1">
      <c r="A215" s="141" t="s">
        <v>143</v>
      </c>
      <c r="B215" s="95">
        <v>146</v>
      </c>
      <c r="C215" s="207"/>
      <c r="D215" s="121"/>
      <c r="E215" s="169">
        <v>0</v>
      </c>
      <c r="F215" s="387"/>
      <c r="G215" s="123"/>
      <c r="H215" s="7"/>
      <c r="I215" s="7"/>
      <c r="J215" s="7"/>
    </row>
    <row r="216" spans="1:10" s="386" customFormat="1" hidden="1">
      <c r="A216" s="141" t="s">
        <v>105</v>
      </c>
      <c r="B216" s="95"/>
      <c r="C216" s="207"/>
      <c r="D216" s="121"/>
      <c r="E216" s="227">
        <v>0</v>
      </c>
      <c r="F216" s="387"/>
      <c r="G216" s="123"/>
      <c r="H216" s="7"/>
      <c r="I216" s="12"/>
      <c r="J216" s="12"/>
    </row>
    <row r="217" spans="1:10" s="386" customFormat="1" ht="16" hidden="1" thickBot="1">
      <c r="A217" s="50"/>
      <c r="B217" s="95"/>
      <c r="C217" s="159">
        <f>SUM(C206:C216)</f>
        <v>5407918</v>
      </c>
      <c r="D217" s="142"/>
      <c r="E217" s="208">
        <f>SUM(E206:E216)</f>
        <v>119794.04529000001</v>
      </c>
      <c r="F217" s="387"/>
      <c r="G217" s="123"/>
      <c r="H217" s="7"/>
      <c r="I217" s="7"/>
      <c r="J217" s="8"/>
    </row>
    <row r="218" spans="1:10" s="386" customFormat="1" ht="16" hidden="1" thickTop="1">
      <c r="A218" s="50"/>
      <c r="B218" s="95"/>
      <c r="C218" s="225">
        <v>5407918</v>
      </c>
      <c r="D218" s="142" t="s">
        <v>161</v>
      </c>
      <c r="E218" s="156">
        <v>0</v>
      </c>
      <c r="F218" s="387"/>
      <c r="G218" s="11"/>
      <c r="H218" s="7"/>
      <c r="I218" s="8"/>
      <c r="J218" s="7"/>
    </row>
    <row r="219" spans="1:10" s="386" customFormat="1" ht="16" hidden="1" thickBot="1">
      <c r="A219" s="50"/>
      <c r="B219" s="95"/>
      <c r="C219" s="231">
        <f>C218-C217</f>
        <v>0</v>
      </c>
      <c r="D219" s="142"/>
      <c r="E219" s="160">
        <f>SUM(E217:E218)</f>
        <v>119794.04529000001</v>
      </c>
      <c r="F219" s="387"/>
      <c r="G219" s="65" t="s">
        <v>158</v>
      </c>
      <c r="H219" s="7"/>
      <c r="I219" s="7"/>
      <c r="J219" s="7"/>
    </row>
    <row r="220" spans="1:10" s="386" customFormat="1" ht="16" hidden="1" thickTop="1">
      <c r="A220" s="387"/>
      <c r="B220" s="387"/>
      <c r="C220" s="387"/>
      <c r="D220" s="142" t="s">
        <v>87</v>
      </c>
      <c r="E220" s="50">
        <f>E219+E201</f>
        <v>-194166.18149590769</v>
      </c>
      <c r="F220" s="387"/>
      <c r="G220" s="8">
        <f>(E201*(D221/12))+(E219*(D221/24))</f>
        <v>-688.08784454829174</v>
      </c>
      <c r="H220" s="458"/>
      <c r="I220" s="458"/>
      <c r="J220" s="7"/>
    </row>
    <row r="221" spans="1:10" s="386" customFormat="1" hidden="1">
      <c r="A221" s="387"/>
      <c r="B221" s="387"/>
      <c r="C221" s="50" t="s">
        <v>57</v>
      </c>
      <c r="D221" s="226">
        <v>3.2500000000000001E-2</v>
      </c>
      <c r="E221" s="119">
        <f>ROUND(((E201)+(SUM(E219))/2)*(D221/12),2)</f>
        <v>-688.09</v>
      </c>
      <c r="F221" s="387"/>
      <c r="G221" s="8"/>
      <c r="H221" s="7"/>
      <c r="I221" s="12"/>
      <c r="J221" s="12"/>
    </row>
    <row r="222" spans="1:10" s="386" customFormat="1">
      <c r="A222" s="387"/>
      <c r="B222" s="387"/>
      <c r="C222" s="50" t="s">
        <v>1</v>
      </c>
      <c r="D222" s="90">
        <f>A204</f>
        <v>41487</v>
      </c>
      <c r="E222" s="50">
        <f>SUM(E220:E221)</f>
        <v>-194854.27149590768</v>
      </c>
      <c r="F222" s="387"/>
      <c r="G222" s="248"/>
    </row>
    <row r="223" spans="1:10" ht="16" thickBot="1"/>
    <row r="224" spans="1:10" s="386" customFormat="1">
      <c r="A224" s="73" t="s">
        <v>141</v>
      </c>
      <c r="B224" s="78"/>
      <c r="C224" s="79"/>
      <c r="D224" s="80"/>
      <c r="E224" s="81"/>
      <c r="G224" s="5"/>
      <c r="H224" s="5"/>
      <c r="I224" s="48"/>
      <c r="J224" s="48"/>
    </row>
    <row r="225" spans="1:10" s="386" customFormat="1">
      <c r="A225" s="220">
        <v>41518</v>
      </c>
      <c r="B225" s="137"/>
      <c r="C225" s="11"/>
      <c r="D225" s="138"/>
      <c r="E225" s="77"/>
      <c r="G225" s="5"/>
      <c r="H225" s="5"/>
      <c r="I225" s="48"/>
      <c r="J225" s="48"/>
    </row>
    <row r="226" spans="1:10" s="386" customFormat="1" ht="16" thickBot="1">
      <c r="A226" s="139"/>
      <c r="B226" s="140"/>
      <c r="C226" s="131" t="s">
        <v>21</v>
      </c>
      <c r="D226" s="131" t="s">
        <v>22</v>
      </c>
      <c r="E226" s="128" t="s">
        <v>23</v>
      </c>
      <c r="F226" s="387"/>
      <c r="G226" s="387"/>
      <c r="H226" s="387"/>
      <c r="I226" s="387"/>
      <c r="J226" s="387"/>
    </row>
    <row r="227" spans="1:10" s="386" customFormat="1">
      <c r="A227" s="50" t="s">
        <v>24</v>
      </c>
      <c r="B227" s="95">
        <v>101</v>
      </c>
      <c r="C227" s="207">
        <v>2647538</v>
      </c>
      <c r="D227" s="391">
        <v>3.3950000000000001E-2</v>
      </c>
      <c r="E227" s="169">
        <v>89883.915099999998</v>
      </c>
      <c r="F227" s="387"/>
      <c r="G227" s="387"/>
      <c r="H227" s="387"/>
      <c r="I227" s="387"/>
      <c r="J227" s="387"/>
    </row>
    <row r="228" spans="1:10" s="386" customFormat="1" ht="16" thickBot="1">
      <c r="A228" s="50" t="s">
        <v>24</v>
      </c>
      <c r="B228" s="95">
        <v>111</v>
      </c>
      <c r="C228" s="207">
        <v>1599551</v>
      </c>
      <c r="D228" s="391">
        <v>3.0599999999999999E-2</v>
      </c>
      <c r="E228" s="169">
        <v>48946.260600000001</v>
      </c>
      <c r="F228" s="387"/>
      <c r="G228" s="123">
        <f>A225</f>
        <v>41518</v>
      </c>
      <c r="H228" s="387"/>
      <c r="I228" s="387"/>
      <c r="J228" s="387"/>
    </row>
    <row r="229" spans="1:10" s="386" customFormat="1" ht="16" thickBot="1">
      <c r="A229" s="50" t="s">
        <v>24</v>
      </c>
      <c r="B229" s="95">
        <v>112</v>
      </c>
      <c r="C229" s="207">
        <v>0</v>
      </c>
      <c r="D229" s="391"/>
      <c r="E229" s="169">
        <v>0</v>
      </c>
      <c r="F229" s="387"/>
      <c r="G229" s="113" t="s">
        <v>25</v>
      </c>
      <c r="H229" s="206"/>
      <c r="I229" s="126" t="s">
        <v>18</v>
      </c>
      <c r="J229" s="126" t="s">
        <v>19</v>
      </c>
    </row>
    <row r="230" spans="1:10" s="386" customFormat="1">
      <c r="A230" s="50" t="s">
        <v>24</v>
      </c>
      <c r="B230" s="95">
        <v>121</v>
      </c>
      <c r="C230" s="207">
        <v>344046</v>
      </c>
      <c r="D230" s="391">
        <v>2.998E-2</v>
      </c>
      <c r="E230" s="169">
        <v>10314.49908</v>
      </c>
      <c r="F230" s="387"/>
      <c r="G230" s="151" t="s">
        <v>28</v>
      </c>
      <c r="H230" s="152" t="s">
        <v>75</v>
      </c>
      <c r="I230" s="152"/>
      <c r="J230" s="97">
        <f>IF(-E242&lt;0,-E242,0)</f>
        <v>0</v>
      </c>
    </row>
    <row r="231" spans="1:10" s="386" customFormat="1">
      <c r="A231" s="50" t="s">
        <v>24</v>
      </c>
      <c r="B231" s="95">
        <v>122</v>
      </c>
      <c r="C231" s="207">
        <v>0</v>
      </c>
      <c r="D231" s="391"/>
      <c r="E231" s="169">
        <v>0</v>
      </c>
      <c r="F231" s="387"/>
      <c r="G231" s="153" t="s">
        <v>29</v>
      </c>
      <c r="H231" s="7" t="s">
        <v>76</v>
      </c>
      <c r="I231" s="7">
        <f>IF(-E242&gt;0,-E242,0)</f>
        <v>325.76</v>
      </c>
      <c r="J231" s="224"/>
    </row>
    <row r="232" spans="1:10" s="386" customFormat="1">
      <c r="A232" s="50" t="s">
        <v>24</v>
      </c>
      <c r="B232" s="95">
        <v>131</v>
      </c>
      <c r="C232" s="207">
        <v>0</v>
      </c>
      <c r="D232" s="391">
        <v>5.7389999999999997E-2</v>
      </c>
      <c r="E232" s="169">
        <v>0</v>
      </c>
      <c r="F232" s="387"/>
      <c r="G232" s="153" t="s">
        <v>97</v>
      </c>
      <c r="H232" s="7" t="s">
        <v>26</v>
      </c>
      <c r="I232" s="8"/>
      <c r="J232" s="98">
        <f>-E240</f>
        <v>-149144.67478</v>
      </c>
    </row>
    <row r="233" spans="1:10" s="386" customFormat="1">
      <c r="A233" s="50" t="s">
        <v>24</v>
      </c>
      <c r="B233" s="95">
        <v>132</v>
      </c>
      <c r="C233" s="207">
        <v>0</v>
      </c>
      <c r="D233" s="391"/>
      <c r="E233" s="169">
        <v>0</v>
      </c>
      <c r="F233" s="387"/>
      <c r="G233" s="153" t="s">
        <v>10</v>
      </c>
      <c r="H233" s="7" t="s">
        <v>17</v>
      </c>
      <c r="I233" s="7">
        <v>0</v>
      </c>
      <c r="J233" s="98"/>
    </row>
    <row r="234" spans="1:10" s="386" customFormat="1" ht="16" thickBot="1">
      <c r="A234" s="50" t="s">
        <v>24</v>
      </c>
      <c r="B234" s="95">
        <v>146</v>
      </c>
      <c r="C234" s="207">
        <v>1818699</v>
      </c>
      <c r="D234" s="239"/>
      <c r="E234" s="169">
        <v>0</v>
      </c>
      <c r="F234" s="387"/>
      <c r="G234" s="154" t="s">
        <v>98</v>
      </c>
      <c r="H234" s="147" t="s">
        <v>27</v>
      </c>
      <c r="I234" s="110">
        <f>-E222+E243</f>
        <v>148818.91477999999</v>
      </c>
      <c r="J234" s="107"/>
    </row>
    <row r="235" spans="1:10" s="386" customFormat="1">
      <c r="A235" s="50" t="s">
        <v>151</v>
      </c>
      <c r="B235" s="95"/>
      <c r="C235" s="207"/>
      <c r="D235" s="121"/>
      <c r="E235" s="169">
        <v>0</v>
      </c>
      <c r="F235" s="387"/>
      <c r="G235" s="387"/>
      <c r="H235" s="387"/>
      <c r="I235" s="387"/>
      <c r="J235" s="340">
        <f>SUM(I230:J234)</f>
        <v>0</v>
      </c>
    </row>
    <row r="236" spans="1:10" s="386" customFormat="1">
      <c r="A236" s="141" t="s">
        <v>143</v>
      </c>
      <c r="B236" s="95">
        <v>146</v>
      </c>
      <c r="C236" s="207"/>
      <c r="D236" s="121"/>
      <c r="E236" s="169">
        <v>0</v>
      </c>
      <c r="F236" s="387"/>
      <c r="G236" s="123"/>
      <c r="H236" s="7"/>
      <c r="I236" s="7"/>
      <c r="J236" s="7"/>
    </row>
    <row r="237" spans="1:10" s="386" customFormat="1">
      <c r="A237" s="141" t="s">
        <v>105</v>
      </c>
      <c r="B237" s="95"/>
      <c r="C237" s="207"/>
      <c r="D237" s="121"/>
      <c r="E237" s="227">
        <v>0</v>
      </c>
      <c r="F237" s="387"/>
      <c r="G237" s="123"/>
      <c r="H237" s="7"/>
      <c r="I237" s="12"/>
      <c r="J237" s="12"/>
    </row>
    <row r="238" spans="1:10" s="386" customFormat="1" ht="16" thickBot="1">
      <c r="A238" s="50"/>
      <c r="B238" s="95"/>
      <c r="C238" s="159">
        <f>SUM(C227:C237)</f>
        <v>6409834</v>
      </c>
      <c r="D238" s="142"/>
      <c r="E238" s="208">
        <f>SUM(E227:E237)</f>
        <v>149144.67478</v>
      </c>
      <c r="F238" s="387"/>
      <c r="G238" s="123"/>
      <c r="H238" s="7"/>
      <c r="I238" s="7"/>
      <c r="J238" s="8"/>
    </row>
    <row r="239" spans="1:10" s="386" customFormat="1" ht="16" thickTop="1">
      <c r="A239" s="50"/>
      <c r="B239" s="95"/>
      <c r="C239" s="225">
        <v>6409834</v>
      </c>
      <c r="D239" s="142" t="s">
        <v>161</v>
      </c>
      <c r="E239" s="156">
        <v>0</v>
      </c>
      <c r="F239" s="387"/>
      <c r="G239" s="11"/>
      <c r="H239" s="7"/>
      <c r="I239" s="8"/>
      <c r="J239" s="7"/>
    </row>
    <row r="240" spans="1:10" s="386" customFormat="1" ht="16" thickBot="1">
      <c r="A240" s="50"/>
      <c r="B240" s="95"/>
      <c r="C240" s="231">
        <f>C239-C238</f>
        <v>0</v>
      </c>
      <c r="D240" s="142"/>
      <c r="E240" s="160">
        <f>SUM(E238:E239)</f>
        <v>149144.67478</v>
      </c>
      <c r="F240" s="387"/>
      <c r="G240" s="65" t="s">
        <v>158</v>
      </c>
      <c r="H240" s="7"/>
      <c r="I240" s="7"/>
      <c r="J240" s="7"/>
    </row>
    <row r="241" spans="1:10" s="386" customFormat="1" ht="16" thickTop="1">
      <c r="A241" s="387"/>
      <c r="B241" s="387"/>
      <c r="C241" s="387"/>
      <c r="D241" s="142" t="s">
        <v>87</v>
      </c>
      <c r="E241" s="50">
        <f>E240+E222</f>
        <v>-45709.596715907683</v>
      </c>
      <c r="F241" s="387"/>
      <c r="G241" s="8">
        <f>(E222*(D242/12))+(E240*(D242/24))</f>
        <v>-325.7635715368333</v>
      </c>
      <c r="H241" s="459"/>
      <c r="I241" s="459"/>
      <c r="J241" s="7"/>
    </row>
    <row r="242" spans="1:10" s="386" customFormat="1">
      <c r="A242" s="387"/>
      <c r="B242" s="387"/>
      <c r="C242" s="50" t="s">
        <v>57</v>
      </c>
      <c r="D242" s="226">
        <v>3.2500000000000001E-2</v>
      </c>
      <c r="E242" s="119">
        <f>ROUND(((E222)+(SUM(E240))/2)*(D242/12),2)</f>
        <v>-325.76</v>
      </c>
      <c r="F242" s="387"/>
      <c r="G242" s="8"/>
      <c r="H242" s="7"/>
      <c r="I242" s="12"/>
      <c r="J242" s="12"/>
    </row>
    <row r="243" spans="1:10" s="386" customFormat="1">
      <c r="A243" s="387"/>
      <c r="B243" s="387"/>
      <c r="C243" s="50" t="s">
        <v>1</v>
      </c>
      <c r="D243" s="90">
        <f>A225</f>
        <v>41518</v>
      </c>
      <c r="E243" s="50">
        <f>SUM(E241:E242)</f>
        <v>-46035.356715907685</v>
      </c>
      <c r="F243" s="387"/>
      <c r="G243" s="248"/>
    </row>
    <row r="244" spans="1:10" ht="16" thickBot="1"/>
    <row r="245" spans="1:10" s="386" customFormat="1">
      <c r="A245" s="73" t="s">
        <v>141</v>
      </c>
      <c r="B245" s="78"/>
      <c r="C245" s="79"/>
      <c r="D245" s="80"/>
      <c r="E245" s="81"/>
      <c r="G245" s="5"/>
      <c r="H245" s="5"/>
      <c r="I245" s="48"/>
      <c r="J245" s="48"/>
    </row>
    <row r="246" spans="1:10" s="386" customFormat="1">
      <c r="A246" s="220">
        <v>41578</v>
      </c>
      <c r="B246" s="137"/>
      <c r="C246" s="11"/>
      <c r="D246" s="138"/>
      <c r="E246" s="77"/>
      <c r="G246" s="5"/>
      <c r="H246" s="5"/>
      <c r="I246" s="48"/>
      <c r="J246" s="48"/>
    </row>
    <row r="247" spans="1:10" s="386" customFormat="1" ht="16" thickBot="1">
      <c r="A247" s="139"/>
      <c r="B247" s="140"/>
      <c r="C247" s="131" t="s">
        <v>21</v>
      </c>
      <c r="D247" s="131" t="s">
        <v>22</v>
      </c>
      <c r="E247" s="128" t="s">
        <v>23</v>
      </c>
      <c r="F247" s="387"/>
      <c r="G247" s="387"/>
      <c r="H247" s="387"/>
      <c r="I247" s="387"/>
      <c r="J247" s="387"/>
    </row>
    <row r="248" spans="1:10" s="386" customFormat="1">
      <c r="A248" s="50" t="s">
        <v>24</v>
      </c>
      <c r="B248" s="95">
        <v>101</v>
      </c>
      <c r="C248" s="207">
        <v>9244353</v>
      </c>
      <c r="D248" s="391">
        <v>3.3950000000000001E-2</v>
      </c>
      <c r="E248" s="169">
        <v>313845.78435000003</v>
      </c>
      <c r="F248" s="387"/>
      <c r="G248" s="387"/>
      <c r="H248" s="387"/>
      <c r="I248" s="387"/>
      <c r="J248" s="387"/>
    </row>
    <row r="249" spans="1:10" s="386" customFormat="1" ht="16" thickBot="1">
      <c r="A249" s="50" t="s">
        <v>24</v>
      </c>
      <c r="B249" s="95">
        <v>111</v>
      </c>
      <c r="C249" s="207">
        <v>3880001</v>
      </c>
      <c r="D249" s="391">
        <v>3.0599999999999999E-2</v>
      </c>
      <c r="E249" s="169">
        <v>118728.0306</v>
      </c>
      <c r="F249" s="387"/>
      <c r="G249" s="123">
        <f>A246</f>
        <v>41578</v>
      </c>
      <c r="H249" s="387"/>
      <c r="I249" s="387"/>
      <c r="J249" s="387"/>
    </row>
    <row r="250" spans="1:10" s="386" customFormat="1" ht="16" thickBot="1">
      <c r="A250" s="50" t="s">
        <v>24</v>
      </c>
      <c r="B250" s="95">
        <v>112</v>
      </c>
      <c r="C250" s="207">
        <v>0</v>
      </c>
      <c r="D250" s="391"/>
      <c r="E250" s="169">
        <v>0</v>
      </c>
      <c r="F250" s="387"/>
      <c r="G250" s="113" t="s">
        <v>25</v>
      </c>
      <c r="H250" s="206"/>
      <c r="I250" s="126" t="s">
        <v>18</v>
      </c>
      <c r="J250" s="126" t="s">
        <v>19</v>
      </c>
    </row>
    <row r="251" spans="1:10" s="386" customFormat="1">
      <c r="A251" s="50" t="s">
        <v>24</v>
      </c>
      <c r="B251" s="95">
        <v>121</v>
      </c>
      <c r="C251" s="207">
        <v>595792</v>
      </c>
      <c r="D251" s="391">
        <v>2.998E-2</v>
      </c>
      <c r="E251" s="169">
        <v>17861.844160000001</v>
      </c>
      <c r="F251" s="387"/>
      <c r="G251" s="151" t="s">
        <v>28</v>
      </c>
      <c r="H251" s="152" t="s">
        <v>75</v>
      </c>
      <c r="I251" s="152"/>
      <c r="J251" s="97">
        <f>IF(-E263&lt;0,-E263,0)</f>
        <v>-485.29</v>
      </c>
    </row>
    <row r="252" spans="1:10" s="386" customFormat="1">
      <c r="A252" s="50" t="s">
        <v>24</v>
      </c>
      <c r="B252" s="95">
        <v>122</v>
      </c>
      <c r="C252" s="207">
        <v>0</v>
      </c>
      <c r="D252" s="391"/>
      <c r="E252" s="169">
        <v>0</v>
      </c>
      <c r="F252" s="387"/>
      <c r="G252" s="153" t="s">
        <v>29</v>
      </c>
      <c r="H252" s="7" t="s">
        <v>76</v>
      </c>
      <c r="I252" s="7">
        <f>IF(-E263&gt;0,-E263,0)</f>
        <v>0</v>
      </c>
      <c r="J252" s="224"/>
    </row>
    <row r="253" spans="1:10" s="386" customFormat="1">
      <c r="A253" s="50" t="s">
        <v>24</v>
      </c>
      <c r="B253" s="95">
        <v>131</v>
      </c>
      <c r="C253" s="207">
        <v>0</v>
      </c>
      <c r="D253" s="391">
        <v>5.7389999999999997E-2</v>
      </c>
      <c r="E253" s="169">
        <v>0</v>
      </c>
      <c r="F253" s="387"/>
      <c r="G253" s="153" t="s">
        <v>97</v>
      </c>
      <c r="H253" s="7" t="s">
        <v>26</v>
      </c>
      <c r="I253" s="8"/>
      <c r="J253" s="98">
        <f>-E261</f>
        <v>-450435.65911000001</v>
      </c>
    </row>
    <row r="254" spans="1:10" s="386" customFormat="1">
      <c r="A254" s="50" t="s">
        <v>24</v>
      </c>
      <c r="B254" s="95">
        <v>132</v>
      </c>
      <c r="C254" s="207">
        <v>0</v>
      </c>
      <c r="D254" s="391"/>
      <c r="E254" s="169">
        <v>0</v>
      </c>
      <c r="F254" s="387"/>
      <c r="G254" s="153" t="s">
        <v>10</v>
      </c>
      <c r="H254" s="7" t="s">
        <v>17</v>
      </c>
      <c r="I254" s="7">
        <v>0</v>
      </c>
      <c r="J254" s="98"/>
    </row>
    <row r="255" spans="1:10" s="386" customFormat="1" ht="16" thickBot="1">
      <c r="A255" s="50" t="s">
        <v>24</v>
      </c>
      <c r="B255" s="95">
        <v>146</v>
      </c>
      <c r="C255" s="207">
        <v>2531895</v>
      </c>
      <c r="D255" s="239"/>
      <c r="E255" s="169">
        <v>0</v>
      </c>
      <c r="F255" s="387"/>
      <c r="G255" s="154" t="s">
        <v>98</v>
      </c>
      <c r="H255" s="147" t="s">
        <v>27</v>
      </c>
      <c r="I255" s="110">
        <f>-E243+E264</f>
        <v>450920.94910999999</v>
      </c>
      <c r="J255" s="107"/>
    </row>
    <row r="256" spans="1:10" s="386" customFormat="1">
      <c r="A256" s="50" t="s">
        <v>151</v>
      </c>
      <c r="B256" s="95"/>
      <c r="C256" s="207"/>
      <c r="D256" s="121"/>
      <c r="E256" s="169">
        <v>0</v>
      </c>
      <c r="F256" s="387"/>
      <c r="G256" s="387"/>
      <c r="H256" s="387"/>
      <c r="I256" s="387"/>
      <c r="J256" s="340">
        <f>SUM(I251:J255)</f>
        <v>0</v>
      </c>
    </row>
    <row r="257" spans="1:10" s="386" customFormat="1">
      <c r="A257" s="141" t="s">
        <v>143</v>
      </c>
      <c r="B257" s="95">
        <v>146</v>
      </c>
      <c r="C257" s="207"/>
      <c r="D257" s="121"/>
      <c r="E257" s="169">
        <v>0</v>
      </c>
      <c r="F257" s="387"/>
      <c r="G257" s="123"/>
      <c r="H257" s="7"/>
      <c r="I257" s="7"/>
      <c r="J257" s="7"/>
    </row>
    <row r="258" spans="1:10" s="386" customFormat="1">
      <c r="A258" s="141" t="s">
        <v>105</v>
      </c>
      <c r="B258" s="95"/>
      <c r="C258" s="207"/>
      <c r="D258" s="121"/>
      <c r="E258" s="227">
        <v>0</v>
      </c>
      <c r="F258" s="387"/>
      <c r="G258" s="123"/>
      <c r="H258" s="7"/>
      <c r="I258" s="12"/>
      <c r="J258" s="12"/>
    </row>
    <row r="259" spans="1:10" s="386" customFormat="1" ht="16" thickBot="1">
      <c r="A259" s="50"/>
      <c r="B259" s="95"/>
      <c r="C259" s="159">
        <f>SUM(C248:C258)</f>
        <v>16252041</v>
      </c>
      <c r="D259" s="142"/>
      <c r="E259" s="208">
        <f>SUM(E248:E258)</f>
        <v>450435.65911000001</v>
      </c>
      <c r="F259" s="387"/>
      <c r="G259" s="123"/>
      <c r="H259" s="7"/>
      <c r="I259" s="7"/>
      <c r="J259" s="8"/>
    </row>
    <row r="260" spans="1:10" s="386" customFormat="1" ht="16" thickTop="1">
      <c r="A260" s="50"/>
      <c r="B260" s="95"/>
      <c r="C260" s="225">
        <v>16252041</v>
      </c>
      <c r="D260" s="142" t="s">
        <v>161</v>
      </c>
      <c r="E260" s="156">
        <v>0</v>
      </c>
      <c r="F260" s="387"/>
      <c r="G260" s="11"/>
      <c r="H260" s="7"/>
      <c r="I260" s="8"/>
      <c r="J260" s="7"/>
    </row>
    <row r="261" spans="1:10" s="386" customFormat="1" ht="16" thickBot="1">
      <c r="A261" s="50"/>
      <c r="B261" s="95"/>
      <c r="C261" s="231">
        <f>C260-C259</f>
        <v>0</v>
      </c>
      <c r="D261" s="142"/>
      <c r="E261" s="160">
        <f>SUM(E259:E260)</f>
        <v>450435.65911000001</v>
      </c>
      <c r="F261" s="387"/>
      <c r="G261" s="65" t="s">
        <v>158</v>
      </c>
      <c r="H261" s="7"/>
      <c r="I261" s="7"/>
      <c r="J261" s="7"/>
    </row>
    <row r="262" spans="1:10" s="386" customFormat="1" ht="16" thickTop="1">
      <c r="A262" s="387"/>
      <c r="B262" s="387"/>
      <c r="C262" s="387"/>
      <c r="D262" s="142" t="s">
        <v>87</v>
      </c>
      <c r="E262" s="50">
        <f>E261+E243</f>
        <v>404400.30239409232</v>
      </c>
      <c r="F262" s="387"/>
      <c r="G262" s="8">
        <f>(E243*(D263/12))+(E261*(D263/24))</f>
        <v>485.28586393920841</v>
      </c>
      <c r="H262" s="460"/>
      <c r="I262" s="460"/>
      <c r="J262" s="7"/>
    </row>
    <row r="263" spans="1:10" s="386" customFormat="1">
      <c r="A263" s="387"/>
      <c r="B263" s="387"/>
      <c r="C263" s="50" t="s">
        <v>57</v>
      </c>
      <c r="D263" s="226">
        <v>3.2500000000000001E-2</v>
      </c>
      <c r="E263" s="119">
        <f>ROUND(((E243)+(SUM(E261))/2)*(D263/12),2)</f>
        <v>485.29</v>
      </c>
      <c r="F263" s="387"/>
      <c r="G263" s="8"/>
      <c r="H263" s="7"/>
      <c r="I263" s="12"/>
      <c r="J263" s="12"/>
    </row>
    <row r="264" spans="1:10" s="386" customFormat="1">
      <c r="A264" s="387"/>
      <c r="B264" s="387"/>
      <c r="C264" s="50" t="s">
        <v>1</v>
      </c>
      <c r="D264" s="90">
        <f>A246</f>
        <v>41578</v>
      </c>
      <c r="E264" s="50">
        <f>SUM(E262:E263)</f>
        <v>404885.59239409229</v>
      </c>
      <c r="F264" s="387"/>
      <c r="G264" s="248"/>
    </row>
    <row r="265" spans="1:10" s="386" customFormat="1">
      <c r="A265" s="387"/>
      <c r="B265" s="387"/>
      <c r="C265" s="50"/>
      <c r="D265" s="445" t="s">
        <v>232</v>
      </c>
      <c r="E265" s="64">
        <f>-'WA Def 191010'!C109</f>
        <v>1145801.7486667871</v>
      </c>
      <c r="F265" s="387"/>
      <c r="G265" s="248"/>
    </row>
    <row r="266" spans="1:10" s="386" customFormat="1" ht="16" thickBot="1">
      <c r="A266" s="387"/>
      <c r="B266" s="387"/>
      <c r="C266" s="50"/>
      <c r="D266" s="445" t="s">
        <v>233</v>
      </c>
      <c r="E266" s="160">
        <f>E265+E264</f>
        <v>1550687.3410608794</v>
      </c>
      <c r="F266" s="387"/>
      <c r="G266" s="248"/>
    </row>
    <row r="267" spans="1:10" s="386" customFormat="1" ht="16.5" thickTop="1" thickBot="1"/>
    <row r="268" spans="1:10" s="386" customFormat="1">
      <c r="A268" s="73" t="s">
        <v>141</v>
      </c>
      <c r="B268" s="78"/>
      <c r="C268" s="79"/>
      <c r="D268" s="80"/>
      <c r="E268" s="81"/>
      <c r="G268" s="5"/>
      <c r="H268" s="5"/>
      <c r="I268" s="48"/>
      <c r="J268" s="48"/>
    </row>
    <row r="269" spans="1:10" s="386" customFormat="1">
      <c r="A269" s="220">
        <v>41608</v>
      </c>
      <c r="B269" s="137"/>
      <c r="C269" s="11"/>
      <c r="D269" s="138"/>
      <c r="E269" s="77"/>
      <c r="G269" s="5"/>
      <c r="H269" s="5"/>
      <c r="I269" s="48"/>
      <c r="J269" s="48"/>
    </row>
    <row r="270" spans="1:10" s="386" customFormat="1" ht="16" thickBot="1">
      <c r="A270" s="139"/>
      <c r="B270" s="140"/>
      <c r="C270" s="131" t="s">
        <v>21</v>
      </c>
      <c r="D270" s="131" t="s">
        <v>22</v>
      </c>
      <c r="E270" s="128" t="s">
        <v>23</v>
      </c>
      <c r="F270" s="387"/>
      <c r="G270" s="387"/>
      <c r="H270" s="387"/>
      <c r="I270" s="387"/>
      <c r="J270" s="387"/>
    </row>
    <row r="271" spans="1:10" s="386" customFormat="1">
      <c r="A271" s="50" t="s">
        <v>24</v>
      </c>
      <c r="B271" s="95">
        <v>101</v>
      </c>
      <c r="C271" s="207">
        <v>15070678</v>
      </c>
      <c r="D271" s="391" t="s">
        <v>188</v>
      </c>
      <c r="E271" s="169">
        <v>-28858.639999999999</v>
      </c>
      <c r="F271" s="387"/>
      <c r="G271" s="387"/>
      <c r="H271" s="387"/>
      <c r="I271" s="387"/>
      <c r="J271" s="387"/>
    </row>
    <row r="272" spans="1:10" s="386" customFormat="1" ht="16" thickBot="1">
      <c r="A272" s="50" t="s">
        <v>24</v>
      </c>
      <c r="B272" s="95">
        <v>111</v>
      </c>
      <c r="C272" s="207">
        <v>5651303</v>
      </c>
      <c r="D272" s="391" t="s">
        <v>188</v>
      </c>
      <c r="E272" s="169">
        <v>-36478.370000000003</v>
      </c>
      <c r="F272" s="387"/>
      <c r="G272" s="123">
        <f>A269</f>
        <v>41608</v>
      </c>
      <c r="H272" s="387"/>
      <c r="I272" s="387"/>
      <c r="J272" s="387"/>
    </row>
    <row r="273" spans="1:10" s="386" customFormat="1" ht="16" thickBot="1">
      <c r="A273" s="50" t="s">
        <v>24</v>
      </c>
      <c r="B273" s="95">
        <v>112</v>
      </c>
      <c r="C273" s="207">
        <v>0</v>
      </c>
      <c r="D273" s="391" t="s">
        <v>188</v>
      </c>
      <c r="E273" s="169">
        <v>0</v>
      </c>
      <c r="F273" s="387"/>
      <c r="G273" s="113" t="s">
        <v>25</v>
      </c>
      <c r="H273" s="206"/>
      <c r="I273" s="126" t="s">
        <v>18</v>
      </c>
      <c r="J273" s="126" t="s">
        <v>19</v>
      </c>
    </row>
    <row r="274" spans="1:10" s="386" customFormat="1">
      <c r="A274" s="50" t="s">
        <v>24</v>
      </c>
      <c r="B274" s="95">
        <v>121</v>
      </c>
      <c r="C274" s="207">
        <v>396185</v>
      </c>
      <c r="D274" s="391" t="s">
        <v>188</v>
      </c>
      <c r="E274" s="169">
        <v>-16940.830000000002</v>
      </c>
      <c r="F274" s="387"/>
      <c r="G274" s="151" t="s">
        <v>28</v>
      </c>
      <c r="H274" s="152" t="s">
        <v>75</v>
      </c>
      <c r="I274" s="470"/>
      <c r="J274" s="471">
        <f>IF(-E286&lt;0,-E286,0)</f>
        <v>-4107.12</v>
      </c>
    </row>
    <row r="275" spans="1:10" s="386" customFormat="1">
      <c r="A275" s="50" t="s">
        <v>24</v>
      </c>
      <c r="B275" s="95">
        <v>122</v>
      </c>
      <c r="C275" s="207">
        <v>0</v>
      </c>
      <c r="D275" s="391" t="s">
        <v>188</v>
      </c>
      <c r="E275" s="169">
        <v>0</v>
      </c>
      <c r="F275" s="387"/>
      <c r="G275" s="153" t="s">
        <v>29</v>
      </c>
      <c r="H275" s="7" t="s">
        <v>76</v>
      </c>
      <c r="I275" s="472">
        <f>IF(-E286&gt;0,-E286,0)</f>
        <v>0</v>
      </c>
      <c r="J275" s="462"/>
    </row>
    <row r="276" spans="1:10" s="386" customFormat="1">
      <c r="A276" s="50" t="s">
        <v>24</v>
      </c>
      <c r="B276" s="95">
        <v>131</v>
      </c>
      <c r="C276" s="207">
        <v>0</v>
      </c>
      <c r="D276" s="391" t="s">
        <v>188</v>
      </c>
      <c r="E276" s="169">
        <v>0</v>
      </c>
      <c r="F276" s="387"/>
      <c r="G276" s="153" t="s">
        <v>97</v>
      </c>
      <c r="H276" s="7" t="s">
        <v>26</v>
      </c>
      <c r="I276" s="472">
        <f>IF(-E284&gt;0,-E284,0)</f>
        <v>68424.86</v>
      </c>
      <c r="J276" s="462">
        <f>IF(-E284&lt;0,-E284,0)</f>
        <v>0</v>
      </c>
    </row>
    <row r="277" spans="1:10" s="386" customFormat="1">
      <c r="A277" s="50" t="s">
        <v>24</v>
      </c>
      <c r="B277" s="95">
        <v>132</v>
      </c>
      <c r="C277" s="207">
        <v>0</v>
      </c>
      <c r="D277" s="391" t="s">
        <v>188</v>
      </c>
      <c r="E277" s="169">
        <v>0</v>
      </c>
      <c r="F277" s="387"/>
      <c r="G277" s="153" t="s">
        <v>10</v>
      </c>
      <c r="H277" s="7" t="s">
        <v>17</v>
      </c>
      <c r="I277" s="472"/>
      <c r="J277" s="462"/>
    </row>
    <row r="278" spans="1:10" s="386" customFormat="1" ht="16" thickBot="1">
      <c r="A278" s="50" t="s">
        <v>24</v>
      </c>
      <c r="B278" s="95">
        <v>146</v>
      </c>
      <c r="C278" s="207">
        <v>2936207</v>
      </c>
      <c r="D278" s="391" t="s">
        <v>188</v>
      </c>
      <c r="E278" s="169">
        <v>0</v>
      </c>
      <c r="F278" s="387"/>
      <c r="G278" s="154" t="s">
        <v>98</v>
      </c>
      <c r="H278" s="147" t="s">
        <v>27</v>
      </c>
      <c r="I278" s="464">
        <f>IF(-(E266-E287)&lt;0,0,-(E266-E287))</f>
        <v>0</v>
      </c>
      <c r="J278" s="473">
        <f>IF(-(E266-E287)&gt;0,0,-(E266-E287))</f>
        <v>-64317.739999999991</v>
      </c>
    </row>
    <row r="279" spans="1:10" s="386" customFormat="1">
      <c r="A279" s="50" t="s">
        <v>151</v>
      </c>
      <c r="B279" s="95"/>
      <c r="C279" s="207"/>
      <c r="D279" s="391"/>
      <c r="E279" s="169">
        <v>0</v>
      </c>
      <c r="F279" s="387"/>
      <c r="G279" s="387"/>
      <c r="H279" s="387"/>
      <c r="I279" s="387"/>
      <c r="J279" s="340">
        <f>SUM(I274:J278)</f>
        <v>0</v>
      </c>
    </row>
    <row r="280" spans="1:10" s="386" customFormat="1">
      <c r="A280" s="141" t="s">
        <v>143</v>
      </c>
      <c r="B280" s="95">
        <v>146</v>
      </c>
      <c r="C280" s="207"/>
      <c r="D280" s="121"/>
      <c r="E280" s="169">
        <v>0</v>
      </c>
      <c r="F280" s="387"/>
      <c r="G280" s="123"/>
      <c r="H280" s="7"/>
      <c r="I280" s="7"/>
      <c r="J280" s="7"/>
    </row>
    <row r="281" spans="1:10" s="386" customFormat="1">
      <c r="A281" s="141" t="s">
        <v>105</v>
      </c>
      <c r="B281" s="95"/>
      <c r="C281" s="207"/>
      <c r="D281" s="121"/>
      <c r="E281" s="227">
        <v>13852.98</v>
      </c>
      <c r="F281" s="387"/>
      <c r="G281" s="123"/>
      <c r="H281" s="7"/>
      <c r="I281" s="12"/>
      <c r="J281" s="12"/>
    </row>
    <row r="282" spans="1:10" s="386" customFormat="1" ht="16" thickBot="1">
      <c r="A282" s="50"/>
      <c r="B282" s="95"/>
      <c r="C282" s="159">
        <f>SUM(C271:C281)</f>
        <v>24054373</v>
      </c>
      <c r="D282" s="142"/>
      <c r="E282" s="208">
        <f>SUM(E271:E281)</f>
        <v>-68424.86</v>
      </c>
      <c r="F282" s="387">
        <f>SUM(E271:E274)</f>
        <v>-82277.84</v>
      </c>
      <c r="G282" s="123"/>
      <c r="H282" s="7"/>
      <c r="I282" s="7"/>
      <c r="J282" s="8"/>
    </row>
    <row r="283" spans="1:10" s="386" customFormat="1" ht="16" thickTop="1">
      <c r="A283" s="50"/>
      <c r="B283" s="95"/>
      <c r="C283" s="225">
        <v>24054373</v>
      </c>
      <c r="D283" s="142" t="s">
        <v>161</v>
      </c>
      <c r="E283" s="156">
        <v>0</v>
      </c>
      <c r="F283" s="387"/>
      <c r="G283" s="11"/>
      <c r="H283" s="7"/>
      <c r="I283" s="8"/>
      <c r="J283" s="7"/>
    </row>
    <row r="284" spans="1:10" s="386" customFormat="1" ht="16" thickBot="1">
      <c r="A284" s="50"/>
      <c r="B284" s="95"/>
      <c r="C284" s="231">
        <f>C283-C282</f>
        <v>0</v>
      </c>
      <c r="D284" s="142"/>
      <c r="E284" s="160">
        <f>SUM(E282:E283)</f>
        <v>-68424.86</v>
      </c>
      <c r="F284" s="387"/>
      <c r="G284" s="65" t="s">
        <v>158</v>
      </c>
      <c r="H284" s="7"/>
      <c r="I284" s="7"/>
      <c r="J284" s="7"/>
    </row>
    <row r="285" spans="1:10" s="386" customFormat="1" ht="16" thickTop="1">
      <c r="A285" s="387"/>
      <c r="B285" s="387"/>
      <c r="C285" s="387"/>
      <c r="D285" s="142" t="s">
        <v>87</v>
      </c>
      <c r="E285" s="50">
        <f>E284+E266</f>
        <v>1482262.4810608793</v>
      </c>
      <c r="F285" s="387"/>
      <c r="G285" s="8">
        <f>(E266*(D286/12))+(E284*(D286/24))</f>
        <v>4107.1195507898819</v>
      </c>
      <c r="H285" s="468"/>
      <c r="I285" s="468"/>
      <c r="J285" s="7"/>
    </row>
    <row r="286" spans="1:10" s="386" customFormat="1">
      <c r="A286" s="387"/>
      <c r="B286" s="387"/>
      <c r="C286" s="50" t="s">
        <v>57</v>
      </c>
      <c r="D286" s="226">
        <v>3.2500000000000001E-2</v>
      </c>
      <c r="E286" s="119">
        <f>ROUND(((E266)+(SUM(E284))/2)*(D286/12),2)</f>
        <v>4107.12</v>
      </c>
      <c r="F286" s="387"/>
      <c r="G286" s="8"/>
      <c r="H286" s="7"/>
      <c r="I286" s="12"/>
      <c r="J286" s="12"/>
    </row>
    <row r="287" spans="1:10" s="386" customFormat="1">
      <c r="A287" s="387"/>
      <c r="B287" s="387"/>
      <c r="C287" s="50" t="s">
        <v>1</v>
      </c>
      <c r="D287" s="90">
        <f>A269</f>
        <v>41608</v>
      </c>
      <c r="E287" s="50">
        <f>SUM(E285:E286)</f>
        <v>1486369.6010608794</v>
      </c>
      <c r="F287" s="387"/>
      <c r="G287" s="248"/>
    </row>
    <row r="288" spans="1:10" s="386" customFormat="1" ht="16" thickBot="1"/>
    <row r="289" spans="1:10" s="386" customFormat="1">
      <c r="A289" s="73" t="s">
        <v>141</v>
      </c>
      <c r="B289" s="78"/>
      <c r="C289" s="79"/>
      <c r="D289" s="80"/>
      <c r="E289" s="81"/>
      <c r="G289" s="5"/>
      <c r="H289" s="5"/>
      <c r="I289" s="48"/>
      <c r="J289" s="48"/>
    </row>
    <row r="290" spans="1:10" s="386" customFormat="1">
      <c r="A290" s="220">
        <f>EOMONTH(A269,1)</f>
        <v>41639</v>
      </c>
      <c r="B290" s="137"/>
      <c r="C290" s="11"/>
      <c r="D290" s="138"/>
      <c r="E290" s="77"/>
      <c r="G290" s="5"/>
      <c r="H290" s="5"/>
      <c r="I290" s="48"/>
      <c r="J290" s="48"/>
    </row>
    <row r="291" spans="1:10" s="386" customFormat="1" ht="16" thickBot="1">
      <c r="A291" s="139"/>
      <c r="B291" s="140"/>
      <c r="C291" s="131" t="s">
        <v>21</v>
      </c>
      <c r="D291" s="131" t="s">
        <v>22</v>
      </c>
      <c r="E291" s="128" t="s">
        <v>23</v>
      </c>
      <c r="F291" s="387"/>
      <c r="G291" s="387"/>
      <c r="H291" s="387"/>
      <c r="I291" s="387"/>
      <c r="J291" s="387"/>
    </row>
    <row r="292" spans="1:10" s="386" customFormat="1">
      <c r="A292" s="50" t="s">
        <v>24</v>
      </c>
      <c r="B292" s="95">
        <v>101</v>
      </c>
      <c r="C292" s="207">
        <f>Jan!$G$23</f>
        <v>19909674</v>
      </c>
      <c r="D292" s="391" t="s">
        <v>188</v>
      </c>
      <c r="E292" s="169">
        <v>-56737.25</v>
      </c>
      <c r="F292" s="387"/>
      <c r="G292" s="387"/>
      <c r="H292" s="387"/>
      <c r="I292" s="387"/>
      <c r="J292" s="387"/>
    </row>
    <row r="293" spans="1:10" s="386" customFormat="1" ht="16" thickBot="1">
      <c r="A293" s="50" t="s">
        <v>24</v>
      </c>
      <c r="B293" s="95">
        <v>111</v>
      </c>
      <c r="C293" s="207">
        <f>Jan!$G$24</f>
        <v>6173752</v>
      </c>
      <c r="D293" s="391" t="s">
        <v>188</v>
      </c>
      <c r="E293" s="169">
        <v>-36348.93</v>
      </c>
      <c r="F293" s="387"/>
      <c r="G293" s="123">
        <f>A290</f>
        <v>41639</v>
      </c>
      <c r="H293" s="387"/>
      <c r="I293" s="387"/>
      <c r="J293" s="387"/>
    </row>
    <row r="294" spans="1:10" s="386" customFormat="1" ht="16" thickBot="1">
      <c r="A294" s="50" t="s">
        <v>24</v>
      </c>
      <c r="B294" s="95">
        <v>112</v>
      </c>
      <c r="C294" s="207">
        <f>Jan!$G$25</f>
        <v>0</v>
      </c>
      <c r="D294" s="391" t="s">
        <v>188</v>
      </c>
      <c r="E294" s="169">
        <v>0</v>
      </c>
      <c r="F294" s="387"/>
      <c r="G294" s="113" t="s">
        <v>25</v>
      </c>
      <c r="H294" s="206"/>
      <c r="I294" s="126" t="s">
        <v>18</v>
      </c>
      <c r="J294" s="126" t="s">
        <v>19</v>
      </c>
    </row>
    <row r="295" spans="1:10" s="386" customFormat="1">
      <c r="A295" s="50" t="s">
        <v>24</v>
      </c>
      <c r="B295" s="95">
        <v>121</v>
      </c>
      <c r="C295" s="207">
        <f>Jan!$G$26</f>
        <v>513680</v>
      </c>
      <c r="D295" s="391" t="s">
        <v>188</v>
      </c>
      <c r="E295" s="169">
        <v>-8844.16</v>
      </c>
      <c r="F295" s="387"/>
      <c r="G295" s="151" t="s">
        <v>28</v>
      </c>
      <c r="H295" s="152" t="s">
        <v>75</v>
      </c>
      <c r="I295" s="470"/>
      <c r="J295" s="471">
        <f>IF(-E307&lt;0,-E307,0)</f>
        <v>-3887.55</v>
      </c>
    </row>
    <row r="296" spans="1:10" s="386" customFormat="1">
      <c r="A296" s="50" t="s">
        <v>24</v>
      </c>
      <c r="B296" s="95">
        <v>122</v>
      </c>
      <c r="C296" s="207">
        <v>0</v>
      </c>
      <c r="D296" s="391" t="s">
        <v>188</v>
      </c>
      <c r="E296" s="169">
        <v>0</v>
      </c>
      <c r="F296" s="387"/>
      <c r="G296" s="153" t="s">
        <v>29</v>
      </c>
      <c r="H296" s="7" t="s">
        <v>76</v>
      </c>
      <c r="I296" s="472">
        <f>IF(-E307&gt;0,-E307,0)</f>
        <v>0</v>
      </c>
      <c r="J296" s="462"/>
    </row>
    <row r="297" spans="1:10" s="386" customFormat="1">
      <c r="A297" s="50" t="s">
        <v>24</v>
      </c>
      <c r="B297" s="95">
        <v>131</v>
      </c>
      <c r="C297" s="207">
        <f>Jan!$G$28</f>
        <v>0</v>
      </c>
      <c r="D297" s="391" t="s">
        <v>188</v>
      </c>
      <c r="E297" s="169">
        <v>0</v>
      </c>
      <c r="F297" s="387"/>
      <c r="G297" s="153" t="s">
        <v>97</v>
      </c>
      <c r="H297" s="7" t="s">
        <v>26</v>
      </c>
      <c r="I297" s="472">
        <f>IF(-E305&gt;0,-E305,0)</f>
        <v>101930.34</v>
      </c>
      <c r="J297" s="462">
        <f>IF(-E305&lt;0,-E305,0)</f>
        <v>0</v>
      </c>
    </row>
    <row r="298" spans="1:10" s="386" customFormat="1">
      <c r="A298" s="50" t="s">
        <v>24</v>
      </c>
      <c r="B298" s="95">
        <v>132</v>
      </c>
      <c r="C298" s="207">
        <v>0</v>
      </c>
      <c r="D298" s="391" t="s">
        <v>188</v>
      </c>
      <c r="E298" s="169">
        <v>0</v>
      </c>
      <c r="F298" s="387"/>
      <c r="G298" s="153" t="s">
        <v>10</v>
      </c>
      <c r="H298" s="7" t="s">
        <v>17</v>
      </c>
      <c r="I298" s="472"/>
      <c r="J298" s="462"/>
    </row>
    <row r="299" spans="1:10" s="386" customFormat="1" ht="16" thickBot="1">
      <c r="A299" s="50" t="s">
        <v>24</v>
      </c>
      <c r="B299" s="95">
        <v>146</v>
      </c>
      <c r="C299" s="207">
        <f>Jan!$G$30</f>
        <v>3286166</v>
      </c>
      <c r="D299" s="391" t="s">
        <v>188</v>
      </c>
      <c r="E299" s="169">
        <v>0</v>
      </c>
      <c r="F299" s="387"/>
      <c r="G299" s="154" t="s">
        <v>98</v>
      </c>
      <c r="H299" s="147" t="s">
        <v>27</v>
      </c>
      <c r="I299" s="464">
        <f>IF(-(E287-E308)&lt;0,0,-(E287-E308))</f>
        <v>0</v>
      </c>
      <c r="J299" s="473">
        <f>IF(-(E287-E308)&gt;0,0,-(E287-E308))</f>
        <v>-98042.790000000037</v>
      </c>
    </row>
    <row r="300" spans="1:10" s="386" customFormat="1">
      <c r="A300" s="50" t="s">
        <v>151</v>
      </c>
      <c r="B300" s="95"/>
      <c r="C300" s="207"/>
      <c r="D300" s="391"/>
      <c r="E300" s="169">
        <v>0</v>
      </c>
      <c r="F300" s="387"/>
      <c r="G300" s="387"/>
      <c r="H300" s="387"/>
      <c r="I300" s="387"/>
      <c r="J300" s="340">
        <f>SUM(I295:J299)</f>
        <v>0</v>
      </c>
    </row>
    <row r="301" spans="1:10" s="386" customFormat="1">
      <c r="A301" s="141" t="s">
        <v>143</v>
      </c>
      <c r="B301" s="95">
        <v>146</v>
      </c>
      <c r="C301" s="207"/>
      <c r="D301" s="121"/>
      <c r="E301" s="169">
        <v>0</v>
      </c>
      <c r="F301" s="387"/>
      <c r="G301" s="123"/>
      <c r="H301" s="7"/>
      <c r="I301" s="7"/>
      <c r="J301" s="7"/>
    </row>
    <row r="302" spans="1:10" s="386" customFormat="1">
      <c r="A302" s="141" t="s">
        <v>105</v>
      </c>
      <c r="B302" s="95"/>
      <c r="C302" s="207"/>
      <c r="D302" s="121"/>
      <c r="E302" s="227">
        <v>0</v>
      </c>
      <c r="F302" s="387"/>
      <c r="G302" s="123"/>
      <c r="H302" s="7"/>
      <c r="I302" s="12"/>
      <c r="J302" s="12"/>
    </row>
    <row r="303" spans="1:10" s="386" customFormat="1" ht="16" thickBot="1">
      <c r="A303" s="50"/>
      <c r="B303" s="95"/>
      <c r="C303" s="159">
        <f>SUM(C292:C302)</f>
        <v>29883272</v>
      </c>
      <c r="D303" s="142"/>
      <c r="E303" s="208">
        <f>SUM(E292:E302)</f>
        <v>-101930.34</v>
      </c>
      <c r="F303" s="387"/>
      <c r="G303" s="123"/>
      <c r="H303" s="7"/>
      <c r="I303" s="7"/>
      <c r="J303" s="8"/>
    </row>
    <row r="304" spans="1:10" s="386" customFormat="1" ht="16" thickTop="1">
      <c r="A304" s="50"/>
      <c r="B304" s="95"/>
      <c r="C304" s="225">
        <v>34418458</v>
      </c>
      <c r="D304" s="142" t="s">
        <v>161</v>
      </c>
      <c r="E304" s="156">
        <v>0</v>
      </c>
      <c r="F304" s="387"/>
      <c r="G304" s="11"/>
      <c r="H304" s="7"/>
      <c r="I304" s="8"/>
      <c r="J304" s="7"/>
    </row>
    <row r="305" spans="1:10" s="386" customFormat="1" ht="16" thickBot="1">
      <c r="A305" s="50"/>
      <c r="B305" s="95"/>
      <c r="C305" s="231">
        <f>C304-C303</f>
        <v>4535186</v>
      </c>
      <c r="D305" s="142"/>
      <c r="E305" s="160">
        <f>SUM(E303:E304)</f>
        <v>-101930.34</v>
      </c>
      <c r="F305" s="387"/>
      <c r="G305" s="65" t="s">
        <v>158</v>
      </c>
      <c r="H305" s="7"/>
      <c r="I305" s="7"/>
      <c r="J305" s="7"/>
    </row>
    <row r="306" spans="1:10" s="386" customFormat="1" ht="16" thickTop="1">
      <c r="A306" s="387"/>
      <c r="B306" s="387"/>
      <c r="C306" s="387"/>
      <c r="D306" s="142" t="s">
        <v>87</v>
      </c>
      <c r="E306" s="50">
        <f>E305+E287</f>
        <v>1384439.2610608793</v>
      </c>
      <c r="F306" s="387"/>
      <c r="G306" s="8">
        <f>(E287*(D307/12))+(E305*(D307/24))</f>
        <v>3887.5536674565483</v>
      </c>
      <c r="H306" s="474"/>
      <c r="I306" s="474"/>
      <c r="J306" s="7"/>
    </row>
    <row r="307" spans="1:10" s="386" customFormat="1">
      <c r="A307" s="387"/>
      <c r="B307" s="387"/>
      <c r="C307" s="50" t="s">
        <v>57</v>
      </c>
      <c r="D307" s="226">
        <v>3.2500000000000001E-2</v>
      </c>
      <c r="E307" s="119">
        <f>ROUND(((E287)+(SUM(E305))/2)*(D307/12),2)</f>
        <v>3887.55</v>
      </c>
      <c r="F307" s="387"/>
      <c r="G307" s="8"/>
      <c r="H307" s="7"/>
      <c r="I307" s="12"/>
      <c r="J307" s="12"/>
    </row>
    <row r="308" spans="1:10" s="386" customFormat="1">
      <c r="A308" s="387"/>
      <c r="B308" s="387"/>
      <c r="C308" s="50" t="s">
        <v>1</v>
      </c>
      <c r="D308" s="90">
        <f>A290</f>
        <v>41639</v>
      </c>
      <c r="E308" s="50">
        <f>SUM(E306:E307)</f>
        <v>1388326.8110608794</v>
      </c>
      <c r="F308" s="387"/>
      <c r="G308" s="477" t="s">
        <v>246</v>
      </c>
      <c r="H308" s="478" t="e">
        <f ca="1">_xll.Get_Balance(I308,"YTD","USD","Total","A","","001","191000","GD","WA","DL")-E308</f>
        <v>#NAME?</v>
      </c>
      <c r="I308" s="479">
        <v>201312</v>
      </c>
    </row>
    <row r="309" spans="1:10" s="386" customFormat="1"/>
  </sheetData>
  <mergeCells count="1">
    <mergeCell ref="G67:I70"/>
  </mergeCells>
  <conditionalFormatting sqref="C28">
    <cfRule type="cellIs" dxfId="67" priority="68" operator="notEqual">
      <formula>0</formula>
    </cfRule>
  </conditionalFormatting>
  <conditionalFormatting sqref="J23">
    <cfRule type="cellIs" dxfId="66" priority="66" stopIfTrue="1" operator="equal">
      <formula>0</formula>
    </cfRule>
    <cfRule type="cellIs" dxfId="65" priority="67" stopIfTrue="1" operator="notEqual">
      <formula>0</formula>
    </cfRule>
  </conditionalFormatting>
  <conditionalFormatting sqref="C51">
    <cfRule type="cellIs" dxfId="64" priority="65" operator="notEqual">
      <formula>0</formula>
    </cfRule>
  </conditionalFormatting>
  <conditionalFormatting sqref="J46">
    <cfRule type="cellIs" dxfId="63" priority="63" stopIfTrue="1" operator="equal">
      <formula>0</formula>
    </cfRule>
    <cfRule type="cellIs" dxfId="62" priority="64" stopIfTrue="1" operator="notEqual">
      <formula>0</formula>
    </cfRule>
  </conditionalFormatting>
  <conditionalFormatting sqref="J46">
    <cfRule type="cellIs" dxfId="61" priority="61" stopIfTrue="1" operator="equal">
      <formula>0</formula>
    </cfRule>
    <cfRule type="cellIs" dxfId="60" priority="62" stopIfTrue="1" operator="notEqual">
      <formula>0</formula>
    </cfRule>
  </conditionalFormatting>
  <conditionalFormatting sqref="C72">
    <cfRule type="cellIs" dxfId="59" priority="60" operator="notEqual">
      <formula>0</formula>
    </cfRule>
  </conditionalFormatting>
  <conditionalFormatting sqref="J67">
    <cfRule type="cellIs" dxfId="58" priority="58" stopIfTrue="1" operator="equal">
      <formula>0</formula>
    </cfRule>
    <cfRule type="cellIs" dxfId="57" priority="59" stopIfTrue="1" operator="notEqual">
      <formula>0</formula>
    </cfRule>
  </conditionalFormatting>
  <conditionalFormatting sqref="J67">
    <cfRule type="cellIs" dxfId="56" priority="56" stopIfTrue="1" operator="equal">
      <formula>0</formula>
    </cfRule>
    <cfRule type="cellIs" dxfId="55" priority="57" stopIfTrue="1" operator="notEqual">
      <formula>0</formula>
    </cfRule>
  </conditionalFormatting>
  <conditionalFormatting sqref="C93">
    <cfRule type="cellIs" dxfId="54" priority="55" operator="notEqual">
      <formula>0</formula>
    </cfRule>
  </conditionalFormatting>
  <conditionalFormatting sqref="J88">
    <cfRule type="cellIs" dxfId="53" priority="53" stopIfTrue="1" operator="equal">
      <formula>0</formula>
    </cfRule>
    <cfRule type="cellIs" dxfId="52" priority="54" stopIfTrue="1" operator="notEqual">
      <formula>0</formula>
    </cfRule>
  </conditionalFormatting>
  <conditionalFormatting sqref="J88">
    <cfRule type="cellIs" dxfId="51" priority="51" stopIfTrue="1" operator="equal">
      <formula>0</formula>
    </cfRule>
    <cfRule type="cellIs" dxfId="50" priority="52" stopIfTrue="1" operator="notEqual">
      <formula>0</formula>
    </cfRule>
  </conditionalFormatting>
  <conditionalFormatting sqref="C114">
    <cfRule type="cellIs" dxfId="49" priority="50" operator="notEqual">
      <formula>0</formula>
    </cfRule>
  </conditionalFormatting>
  <conditionalFormatting sqref="J109">
    <cfRule type="cellIs" dxfId="48" priority="48" stopIfTrue="1" operator="equal">
      <formula>0</formula>
    </cfRule>
    <cfRule type="cellIs" dxfId="47" priority="49" stopIfTrue="1" operator="notEqual">
      <formula>0</formula>
    </cfRule>
  </conditionalFormatting>
  <conditionalFormatting sqref="J109">
    <cfRule type="cellIs" dxfId="46" priority="46" stopIfTrue="1" operator="equal">
      <formula>0</formula>
    </cfRule>
    <cfRule type="cellIs" dxfId="45" priority="47" stopIfTrue="1" operator="notEqual">
      <formula>0</formula>
    </cfRule>
  </conditionalFormatting>
  <conditionalFormatting sqref="C135">
    <cfRule type="cellIs" dxfId="44" priority="45" operator="notEqual">
      <formula>0</formula>
    </cfRule>
  </conditionalFormatting>
  <conditionalFormatting sqref="J130">
    <cfRule type="cellIs" dxfId="43" priority="43" stopIfTrue="1" operator="equal">
      <formula>0</formula>
    </cfRule>
    <cfRule type="cellIs" dxfId="42" priority="44" stopIfTrue="1" operator="notEqual">
      <formula>0</formula>
    </cfRule>
  </conditionalFormatting>
  <conditionalFormatting sqref="J130">
    <cfRule type="cellIs" dxfId="41" priority="41" stopIfTrue="1" operator="equal">
      <formula>0</formula>
    </cfRule>
    <cfRule type="cellIs" dxfId="40" priority="42" stopIfTrue="1" operator="notEqual">
      <formula>0</formula>
    </cfRule>
  </conditionalFormatting>
  <conditionalFormatting sqref="C156">
    <cfRule type="cellIs" dxfId="39" priority="40" operator="notEqual">
      <formula>0</formula>
    </cfRule>
  </conditionalFormatting>
  <conditionalFormatting sqref="J15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J151">
    <cfRule type="cellIs" dxfId="36" priority="36" stopIfTrue="1" operator="equal">
      <formula>0</formula>
    </cfRule>
    <cfRule type="cellIs" dxfId="35" priority="37" stopIfTrue="1" operator="notEqual">
      <formula>0</formula>
    </cfRule>
  </conditionalFormatting>
  <conditionalFormatting sqref="C177">
    <cfRule type="cellIs" dxfId="34" priority="35" operator="notEqual">
      <formula>0</formula>
    </cfRule>
  </conditionalFormatting>
  <conditionalFormatting sqref="J172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J172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C198">
    <cfRule type="cellIs" dxfId="29" priority="30" operator="notEqual">
      <formula>0</formula>
    </cfRule>
  </conditionalFormatting>
  <conditionalFormatting sqref="J193">
    <cfRule type="cellIs" dxfId="28" priority="28" stopIfTrue="1" operator="equal">
      <formula>0</formula>
    </cfRule>
    <cfRule type="cellIs" dxfId="27" priority="29" stopIfTrue="1" operator="notEqual">
      <formula>0</formula>
    </cfRule>
  </conditionalFormatting>
  <conditionalFormatting sqref="J193">
    <cfRule type="cellIs" dxfId="26" priority="26" stopIfTrue="1" operator="equal">
      <formula>0</formula>
    </cfRule>
    <cfRule type="cellIs" dxfId="25" priority="27" stopIfTrue="1" operator="notEqual">
      <formula>0</formula>
    </cfRule>
  </conditionalFormatting>
  <conditionalFormatting sqref="C219">
    <cfRule type="cellIs" dxfId="24" priority="25" operator="notEqual">
      <formula>0</formula>
    </cfRule>
  </conditionalFormatting>
  <conditionalFormatting sqref="J214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J21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C240">
    <cfRule type="cellIs" dxfId="19" priority="20" operator="notEqual">
      <formula>0</formula>
    </cfRule>
  </conditionalFormatting>
  <conditionalFormatting sqref="J235">
    <cfRule type="cellIs" dxfId="18" priority="18" stopIfTrue="1" operator="equal">
      <formula>0</formula>
    </cfRule>
    <cfRule type="cellIs" dxfId="17" priority="19" stopIfTrue="1" operator="notEqual">
      <formula>0</formula>
    </cfRule>
  </conditionalFormatting>
  <conditionalFormatting sqref="J235">
    <cfRule type="cellIs" dxfId="16" priority="16" stopIfTrue="1" operator="equal">
      <formula>0</formula>
    </cfRule>
    <cfRule type="cellIs" dxfId="15" priority="17" stopIfTrue="1" operator="notEqual">
      <formula>0</formula>
    </cfRule>
  </conditionalFormatting>
  <conditionalFormatting sqref="C261">
    <cfRule type="cellIs" dxfId="14" priority="15" operator="notEqual">
      <formula>0</formula>
    </cfRule>
  </conditionalFormatting>
  <conditionalFormatting sqref="J256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J256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C284">
    <cfRule type="cellIs" dxfId="9" priority="10" operator="notEqual">
      <formula>0</formula>
    </cfRule>
  </conditionalFormatting>
  <conditionalFormatting sqref="J279">
    <cfRule type="cellIs" dxfId="8" priority="8" stopIfTrue="1" operator="equal">
      <formula>0</formula>
    </cfRule>
    <cfRule type="cellIs" dxfId="7" priority="9" stopIfTrue="1" operator="notEqual">
      <formula>0</formula>
    </cfRule>
  </conditionalFormatting>
  <conditionalFormatting sqref="J279">
    <cfRule type="cellIs" dxfId="6" priority="6" stopIfTrue="1" operator="equal">
      <formula>0</formula>
    </cfRule>
    <cfRule type="cellIs" dxfId="5" priority="7" stopIfTrue="1" operator="notEqual">
      <formula>0</formula>
    </cfRule>
  </conditionalFormatting>
  <conditionalFormatting sqref="C305">
    <cfRule type="cellIs" dxfId="4" priority="5" operator="notEqual">
      <formula>0</formula>
    </cfRule>
  </conditionalFormatting>
  <conditionalFormatting sqref="J300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J300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gridLinesSet="0"/>
  <pageMargins left="0.5" right="0.25" top="0.92" bottom="0.5" header="0.25" footer="0.25"/>
  <pageSetup scale="45" fitToHeight="2" orientation="portrait" horizontalDpi="300" verticalDpi="300" r:id="rId1"/>
  <headerFooter alignWithMargins="0">
    <oddHeader>&amp;L&amp;12Prior Period Unrecovered Gas Costs
Washington
191000</oddHeader>
    <oddFooter>&amp;L&amp;F&amp;C&amp;A&amp;R&amp;D  &amp;T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R44"/>
  <sheetViews>
    <sheetView topLeftCell="A7" workbookViewId="0">
      <selection activeCell="B45" sqref="B45"/>
    </sheetView>
  </sheetViews>
  <sheetFormatPr defaultRowHeight="13"/>
  <cols>
    <col min="1" max="1" width="11.09765625" bestFit="1" customWidth="1"/>
    <col min="2" max="3" width="16.09765625" style="549" customWidth="1"/>
    <col min="4" max="13" width="16.09765625" customWidth="1"/>
    <col min="14" max="14" width="7" style="549" customWidth="1"/>
    <col min="15" max="16" width="16.09765625" customWidth="1"/>
  </cols>
  <sheetData>
    <row r="1" spans="1:18">
      <c r="A1" s="549" t="s">
        <v>35</v>
      </c>
    </row>
    <row r="2" spans="1:18">
      <c r="B2" s="555">
        <v>201311</v>
      </c>
      <c r="C2" s="555">
        <v>201312</v>
      </c>
      <c r="D2" s="555">
        <v>201401</v>
      </c>
      <c r="E2" s="555">
        <v>201402</v>
      </c>
      <c r="F2" s="555">
        <v>201403</v>
      </c>
      <c r="G2" s="555">
        <v>201404</v>
      </c>
      <c r="H2" s="555">
        <v>201405</v>
      </c>
      <c r="I2" s="555">
        <v>201406</v>
      </c>
      <c r="J2" s="555">
        <v>201407</v>
      </c>
      <c r="K2" s="555">
        <v>201408</v>
      </c>
      <c r="L2" s="555">
        <v>201409</v>
      </c>
      <c r="M2" s="555">
        <v>201410</v>
      </c>
      <c r="N2" s="555"/>
      <c r="O2" s="555" t="s">
        <v>324</v>
      </c>
      <c r="P2" s="555" t="s">
        <v>325</v>
      </c>
    </row>
    <row r="3" spans="1:18" ht="15.5">
      <c r="A3" s="549" t="s">
        <v>2</v>
      </c>
      <c r="B3" s="549">
        <v>-363626.86552299373</v>
      </c>
      <c r="C3" s="549">
        <v>-1349424.414729001</v>
      </c>
      <c r="D3">
        <f>Jan!H53</f>
        <v>688681.53940400109</v>
      </c>
      <c r="E3">
        <f>Feb!H53</f>
        <v>0</v>
      </c>
      <c r="F3">
        <f>Mar!H53</f>
        <v>1135107.4385570027</v>
      </c>
      <c r="G3">
        <f>Apr!H53</f>
        <v>-2310603.7085020011</v>
      </c>
      <c r="H3">
        <f>May!H53</f>
        <v>-1026688.9535339989</v>
      </c>
      <c r="I3">
        <f>Jun!H53</f>
        <v>-1511176.335440001</v>
      </c>
      <c r="J3">
        <f>Jul!H53</f>
        <v>-1483614.197077998</v>
      </c>
      <c r="K3">
        <f>Aug!H53</f>
        <v>-1288286.6270379988</v>
      </c>
      <c r="L3">
        <f>Sep!H53</f>
        <v>-2088616.5970920017</v>
      </c>
      <c r="M3">
        <f>Oct!H55</f>
        <v>-1862270.5500129997</v>
      </c>
      <c r="O3">
        <f>SUM(B3:M3)</f>
        <v>-11460519.270987989</v>
      </c>
      <c r="P3">
        <f>SUM(D3:M3)</f>
        <v>-9747467.9907359947</v>
      </c>
      <c r="Q3" s="556" t="s">
        <v>182</v>
      </c>
      <c r="R3" s="399"/>
    </row>
    <row r="4" spans="1:18" ht="15.5">
      <c r="A4" s="549" t="s">
        <v>3</v>
      </c>
      <c r="B4" s="554">
        <v>-780538.83973299898</v>
      </c>
      <c r="C4" s="554">
        <v>-1676402.6655339997</v>
      </c>
      <c r="D4" s="554">
        <f>Jan!I53</f>
        <v>-1606244.3564840001</v>
      </c>
      <c r="E4" s="554">
        <f>Feb!I53</f>
        <v>-724338.56610899908</v>
      </c>
      <c r="F4" s="554">
        <f>Mar!I53</f>
        <v>-120857.11109200004</v>
      </c>
      <c r="G4" s="554">
        <f>Apr!I53</f>
        <v>229663.83159000031</v>
      </c>
      <c r="H4" s="554">
        <f>May!I53</f>
        <v>862900.97529599979</v>
      </c>
      <c r="I4" s="554">
        <f>Jun!I53</f>
        <v>1347548.3399299998</v>
      </c>
      <c r="J4" s="554">
        <f>Jul!I53</f>
        <v>1140740.15466</v>
      </c>
      <c r="K4" s="554">
        <f>Aug!I53</f>
        <v>1206971.3773980001</v>
      </c>
      <c r="L4" s="554">
        <f>Sep!I53</f>
        <v>899296.28302999982</v>
      </c>
      <c r="M4" s="554">
        <f>Oct!I55</f>
        <v>732178.99664799974</v>
      </c>
      <c r="N4" s="554"/>
      <c r="O4" s="554">
        <f>SUM(B4:M4)</f>
        <v>1510918.4196000015</v>
      </c>
      <c r="P4" s="554">
        <f>SUM(D4:M4)</f>
        <v>3967859.9248669995</v>
      </c>
      <c r="Q4" s="556" t="s">
        <v>183</v>
      </c>
      <c r="R4" s="399"/>
    </row>
    <row r="5" spans="1:18">
      <c r="B5" s="549">
        <f>SUM(B3:B4)</f>
        <v>-1144165.7052559927</v>
      </c>
      <c r="C5" s="549">
        <f t="shared" ref="C5:M5" si="0">SUM(C3:C4)</f>
        <v>-3025827.0802630009</v>
      </c>
      <c r="D5" s="549">
        <f t="shared" si="0"/>
        <v>-917562.81707999902</v>
      </c>
      <c r="E5" s="549">
        <f t="shared" si="0"/>
        <v>-724338.56610899908</v>
      </c>
      <c r="F5" s="549">
        <f t="shared" si="0"/>
        <v>1014250.3274650027</v>
      </c>
      <c r="G5" s="549">
        <f t="shared" si="0"/>
        <v>-2080939.8769120008</v>
      </c>
      <c r="H5" s="549">
        <f t="shared" si="0"/>
        <v>-163787.97823799914</v>
      </c>
      <c r="I5" s="549">
        <f t="shared" si="0"/>
        <v>-163627.9955100012</v>
      </c>
      <c r="J5" s="549">
        <f t="shared" si="0"/>
        <v>-342874.04241799796</v>
      </c>
      <c r="K5" s="549">
        <f t="shared" si="0"/>
        <v>-81315.249639998656</v>
      </c>
      <c r="L5" s="549">
        <f t="shared" si="0"/>
        <v>-1189320.3140620019</v>
      </c>
      <c r="M5" s="549">
        <f t="shared" si="0"/>
        <v>-1130091.5533650001</v>
      </c>
      <c r="O5">
        <f>SUM(O3:O4)</f>
        <v>-9949600.8513879888</v>
      </c>
      <c r="P5">
        <f>SUM(P3:P4)</f>
        <v>-5779608.0658689952</v>
      </c>
    </row>
    <row r="8" spans="1:18">
      <c r="A8" s="549" t="s">
        <v>63</v>
      </c>
      <c r="D8" s="549"/>
      <c r="E8" s="549"/>
      <c r="F8" s="549"/>
      <c r="G8" s="549"/>
      <c r="H8" s="549"/>
      <c r="I8" s="549"/>
      <c r="J8" s="549"/>
      <c r="K8" s="549"/>
      <c r="L8" s="549"/>
      <c r="M8" s="549"/>
      <c r="O8" s="549"/>
      <c r="P8" s="549"/>
    </row>
    <row r="9" spans="1:18">
      <c r="B9" s="555">
        <v>201311</v>
      </c>
      <c r="C9" s="555">
        <v>201312</v>
      </c>
      <c r="D9" s="555">
        <v>201401</v>
      </c>
      <c r="E9" s="555">
        <v>201402</v>
      </c>
      <c r="F9" s="555">
        <v>201403</v>
      </c>
      <c r="G9" s="555">
        <v>201404</v>
      </c>
      <c r="H9" s="555">
        <v>201405</v>
      </c>
      <c r="I9" s="555">
        <v>201406</v>
      </c>
      <c r="J9" s="555">
        <v>201407</v>
      </c>
      <c r="K9" s="555">
        <v>201408</v>
      </c>
      <c r="L9" s="555">
        <v>201409</v>
      </c>
      <c r="M9" s="555">
        <v>201410</v>
      </c>
      <c r="N9" s="555"/>
      <c r="O9" s="555" t="s">
        <v>324</v>
      </c>
      <c r="P9" s="555" t="s">
        <v>325</v>
      </c>
    </row>
    <row r="10" spans="1:18">
      <c r="A10" s="549" t="s">
        <v>2</v>
      </c>
      <c r="B10" s="549">
        <v>-244467.20447699772</v>
      </c>
      <c r="C10" s="549">
        <v>-725196.73139099963</v>
      </c>
      <c r="D10">
        <f>Jan!J53</f>
        <v>331968.15844599903</v>
      </c>
      <c r="E10" s="549">
        <f>Feb!$J$53</f>
        <v>0</v>
      </c>
      <c r="F10" s="549">
        <f>Mar!J53</f>
        <v>547802.71264300169</v>
      </c>
      <c r="G10" s="549">
        <f>Apr!J53</f>
        <v>-1029654.8148680007</v>
      </c>
      <c r="H10" s="549">
        <f>May!J53</f>
        <v>-494908.28808599967</v>
      </c>
      <c r="I10" s="549">
        <f>Jun!J53</f>
        <v>-803843.28933000052</v>
      </c>
      <c r="J10" s="549">
        <f>Jul!J53</f>
        <v>-778841.02357199905</v>
      </c>
      <c r="K10" s="549">
        <f>Aug!J53</f>
        <v>-816009.11660199915</v>
      </c>
      <c r="L10" s="549">
        <f>Sep!J53</f>
        <v>-995450.54456800083</v>
      </c>
      <c r="M10" s="549">
        <f>Oct!J55</f>
        <v>-911936.74747700011</v>
      </c>
      <c r="O10" s="549">
        <f>SUM(B10:M10)</f>
        <v>-5920536.8892819975</v>
      </c>
      <c r="P10" s="549">
        <f>SUM(D10:M10)</f>
        <v>-4950872.9534139987</v>
      </c>
    </row>
    <row r="11" spans="1:18">
      <c r="A11" s="549" t="s">
        <v>3</v>
      </c>
      <c r="B11" s="554">
        <v>-348603.87026699982</v>
      </c>
      <c r="C11" s="554">
        <v>-725799.30110599974</v>
      </c>
      <c r="D11" s="554">
        <f>Jan!K53</f>
        <v>-634725.57628600008</v>
      </c>
      <c r="E11" s="554">
        <f>Feb!$K$53</f>
        <v>-205263.17475099966</v>
      </c>
      <c r="F11" s="554">
        <f>Mar!K53</f>
        <v>-80067.220408000168</v>
      </c>
      <c r="G11" s="554">
        <f>Apr!K53</f>
        <v>93304.253359999973</v>
      </c>
      <c r="H11" s="554">
        <f>May!K53</f>
        <v>330056.73858399986</v>
      </c>
      <c r="I11" s="554">
        <f>Jun!K53</f>
        <v>516691.11279999983</v>
      </c>
      <c r="J11" s="554">
        <f>Jul!K53</f>
        <v>436622.32056000002</v>
      </c>
      <c r="K11" s="554">
        <f>Aug!K53</f>
        <v>421397.81835199991</v>
      </c>
      <c r="L11" s="554">
        <f>Sep!K53</f>
        <v>349566.40155999974</v>
      </c>
      <c r="M11" s="554">
        <f>Oct!K55</f>
        <v>259412.69212199986</v>
      </c>
      <c r="N11" s="554"/>
      <c r="O11" s="554">
        <f>SUM(B11:M11)</f>
        <v>412592.19451999996</v>
      </c>
      <c r="P11" s="554">
        <f>SUM(D11:M11)</f>
        <v>1486995.3658929991</v>
      </c>
    </row>
    <row r="12" spans="1:18">
      <c r="B12" s="549">
        <f>SUM(B10:B11)</f>
        <v>-593071.07474399754</v>
      </c>
      <c r="C12" s="549">
        <f t="shared" ref="C12:M12" si="1">SUM(C10:C11)</f>
        <v>-1450996.0324969995</v>
      </c>
      <c r="D12" s="549">
        <f t="shared" si="1"/>
        <v>-302757.41784000106</v>
      </c>
      <c r="E12" s="549">
        <f t="shared" si="1"/>
        <v>-205263.17475099966</v>
      </c>
      <c r="F12" s="549">
        <f t="shared" si="1"/>
        <v>467735.49223500153</v>
      </c>
      <c r="G12" s="549">
        <f t="shared" si="1"/>
        <v>-936350.56150800071</v>
      </c>
      <c r="H12" s="549">
        <f t="shared" si="1"/>
        <v>-164851.54950199981</v>
      </c>
      <c r="I12" s="549">
        <f t="shared" si="1"/>
        <v>-287152.1765300007</v>
      </c>
      <c r="J12" s="549">
        <f t="shared" si="1"/>
        <v>-342218.70301199902</v>
      </c>
      <c r="K12" s="549">
        <f t="shared" si="1"/>
        <v>-394611.29824999924</v>
      </c>
      <c r="L12" s="549">
        <f t="shared" si="1"/>
        <v>-645884.14300800115</v>
      </c>
      <c r="M12" s="549">
        <f t="shared" si="1"/>
        <v>-652524.05535500031</v>
      </c>
      <c r="O12">
        <f>SUM(O10:O11)</f>
        <v>-5507944.6947619971</v>
      </c>
      <c r="P12" s="549">
        <f>SUM(P10:P11)</f>
        <v>-3463877.5875209998</v>
      </c>
    </row>
    <row r="43" spans="2:2">
      <c r="B43" s="549" t="s">
        <v>326</v>
      </c>
    </row>
    <row r="44" spans="2:2">
      <c r="B44" s="549" t="s">
        <v>327</v>
      </c>
    </row>
  </sheetData>
  <printOptions horizontalCentered="1"/>
  <pageMargins left="0" right="0" top="0.75" bottom="0.75" header="0.3" footer="0.3"/>
  <pageSetup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E48348C5677CC41A1AA158155612DF6" ma:contentTypeVersion="119" ma:contentTypeDescription="" ma:contentTypeScope="" ma:versionID="e558c2f720e7f4a5353159d1e8801f3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2015-12-21T08:00:00+00:00</OpenedDate>
    <Date1 xmlns="dc463f71-b30c-4ab2-9473-d307f9d35888">2015-12-21T08:00:00+00:00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152390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C8D4E7C-E4FA-4C61-BCE1-2B0ACADC22F5}"/>
</file>

<file path=customXml/itemProps2.xml><?xml version="1.0" encoding="utf-8"?>
<ds:datastoreItem xmlns:ds="http://schemas.openxmlformats.org/officeDocument/2006/customXml" ds:itemID="{24D45B8F-DDE2-45F2-8922-237C99FC2812}"/>
</file>

<file path=customXml/itemProps3.xml><?xml version="1.0" encoding="utf-8"?>
<ds:datastoreItem xmlns:ds="http://schemas.openxmlformats.org/officeDocument/2006/customXml" ds:itemID="{D5ED8DF3-470F-4534-BBA0-33C738EB9613}"/>
</file>

<file path=customXml/itemProps4.xml><?xml version="1.0" encoding="utf-8"?>
<ds:datastoreItem xmlns:ds="http://schemas.openxmlformats.org/officeDocument/2006/customXml" ds:itemID="{DBECFBB4-9C32-4C47-8DEF-1318A93F7A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58</vt:i4>
      </vt:variant>
    </vt:vector>
  </HeadingPairs>
  <TitlesOfParts>
    <vt:vector size="103" baseType="lpstr">
      <vt:lpstr>PGA Graphs 2012-13</vt:lpstr>
      <vt:lpstr>JE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WA - Def-Amtz</vt:lpstr>
      <vt:lpstr>ID - Def-Amtz </vt:lpstr>
      <vt:lpstr>WA - Def-Amtz 201510</vt:lpstr>
      <vt:lpstr>ID - Def-Amtz  201510</vt:lpstr>
      <vt:lpstr>WA - Def-Amtz 201509</vt:lpstr>
      <vt:lpstr>ID - Def-Amtz 201509</vt:lpstr>
      <vt:lpstr>WA - Def-Amtz 201508</vt:lpstr>
      <vt:lpstr>ID - Def-Amtz 201508</vt:lpstr>
      <vt:lpstr>WA - Def-Amtz 201507</vt:lpstr>
      <vt:lpstr>ID - Def-Amtz  201507</vt:lpstr>
      <vt:lpstr>WA - Def-Amtz 201506</vt:lpstr>
      <vt:lpstr>ID - Def-Amtz  201506</vt:lpstr>
      <vt:lpstr>WA - Def-Amtz 201505</vt:lpstr>
      <vt:lpstr>ID - Def-Amtz 201505</vt:lpstr>
      <vt:lpstr>WA - Def-Amtz 201504</vt:lpstr>
      <vt:lpstr>ID - Def-Amtz 201504</vt:lpstr>
      <vt:lpstr>WA - Def-Amtz Correction 201504</vt:lpstr>
      <vt:lpstr>ID-Def-Amtz Correction 201504</vt:lpstr>
      <vt:lpstr>ID - Def-Amtz Correction 201503</vt:lpstr>
      <vt:lpstr>WA - Def-Amtz 201503</vt:lpstr>
      <vt:lpstr>ID - Def-Amtz  201503</vt:lpstr>
      <vt:lpstr>PGA Graphs 2013-14</vt:lpstr>
      <vt:lpstr>Deferral Graphs 2013-14 </vt:lpstr>
      <vt:lpstr>ID Amort 191015</vt:lpstr>
      <vt:lpstr>ID Amort 191000</vt:lpstr>
      <vt:lpstr>WA Def 191010</vt:lpstr>
      <vt:lpstr>ID Def 191010</vt:lpstr>
      <vt:lpstr>ID Holdback 191015</vt:lpstr>
      <vt:lpstr>Amortization of JP Deferral</vt:lpstr>
      <vt:lpstr>WA Amort 191000</vt:lpstr>
      <vt:lpstr>Sheet1</vt:lpstr>
      <vt:lpstr>'Amortization of JP Deferral'!Print_Area</vt:lpstr>
      <vt:lpstr>Apr!Print_Area</vt:lpstr>
      <vt:lpstr>Aug!Print_Area</vt:lpstr>
      <vt:lpstr>Dec!Print_Area</vt:lpstr>
      <vt:lpstr>'Deferral Graphs 2013-14 '!Print_Area</vt:lpstr>
      <vt:lpstr>Feb!Print_Area</vt:lpstr>
      <vt:lpstr>'ID - Def-Amtz '!Print_Area</vt:lpstr>
      <vt:lpstr>'ID - Def-Amtz  201503'!Print_Area</vt:lpstr>
      <vt:lpstr>'ID - Def-Amtz  201506'!Print_Area</vt:lpstr>
      <vt:lpstr>'ID - Def-Amtz  201507'!Print_Area</vt:lpstr>
      <vt:lpstr>'ID - Def-Amtz  201510'!Print_Area</vt:lpstr>
      <vt:lpstr>'ID - Def-Amtz 201504'!Print_Area</vt:lpstr>
      <vt:lpstr>'ID - Def-Amtz 201508'!Print_Area</vt:lpstr>
      <vt:lpstr>'ID - Def-Amtz 201509'!Print_Area</vt:lpstr>
      <vt:lpstr>'ID - Def-Amtz Correction 201503'!Print_Area</vt:lpstr>
      <vt:lpstr>'ID Amort 191000'!Print_Area</vt:lpstr>
      <vt:lpstr>'ID Amort 191015'!Print_Area</vt:lpstr>
      <vt:lpstr>'ID Def 191010'!Print_Area</vt:lpstr>
      <vt:lpstr>'ID Holdback 191015'!Print_Area</vt:lpstr>
      <vt:lpstr>'ID-Def-Amtz Correction 201504'!Print_Area</vt:lpstr>
      <vt:lpstr>Jan!Print_Area</vt:lpstr>
      <vt:lpstr>JE!Print_Area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'PGA Graphs 2012-13'!Print_Area</vt:lpstr>
      <vt:lpstr>'PGA Graphs 2013-14'!Print_Area</vt:lpstr>
      <vt:lpstr>Sep!Print_Area</vt:lpstr>
      <vt:lpstr>Sheet1!Print_Area</vt:lpstr>
      <vt:lpstr>'WA - Def-Amtz'!Print_Area</vt:lpstr>
      <vt:lpstr>'WA - Def-Amtz 201503'!Print_Area</vt:lpstr>
      <vt:lpstr>'WA - Def-Amtz 201504'!Print_Area</vt:lpstr>
      <vt:lpstr>'WA - Def-Amtz 201506'!Print_Area</vt:lpstr>
      <vt:lpstr>'WA - Def-Amtz 201507'!Print_Area</vt:lpstr>
      <vt:lpstr>'WA - Def-Amtz 201508'!Print_Area</vt:lpstr>
      <vt:lpstr>'WA - Def-Amtz 201509'!Print_Area</vt:lpstr>
      <vt:lpstr>'WA - Def-Amtz 201510'!Print_Area</vt:lpstr>
      <vt:lpstr>'WA - Def-Amtz Correction 201504'!Print_Area</vt:lpstr>
      <vt:lpstr>'WA Amort 191000'!Print_Area</vt:lpstr>
      <vt:lpstr>'WA Def 191010'!Print_Area</vt:lpstr>
      <vt:lpstr>Apr!Print_Titles</vt:lpstr>
      <vt:lpstr>Aug!Print_Titles</vt:lpstr>
      <vt:lpstr>Dec!Print_Titles</vt:lpstr>
      <vt:lpstr>Feb!Print_Titles</vt:lpstr>
      <vt:lpstr>'ID Def 191010'!Print_Titles</vt:lpstr>
      <vt:lpstr>'ID Holdback 191015'!Print_Titles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'WA Def 191010'!Print_Titles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Rollman, Courtney (UTC)</cp:lastModifiedBy>
  <cp:lastPrinted>2015-12-08T00:39:39Z</cp:lastPrinted>
  <dcterms:created xsi:type="dcterms:W3CDTF">2003-05-01T14:02:57Z</dcterms:created>
  <dcterms:modified xsi:type="dcterms:W3CDTF">2015-12-22T21:28:35Z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0x0101006E56B4D1795A2E4DB2F0B01679ED314A00FE48348C5677CC41A1AA158155612DF6</vt:lpwstr>
  </property>
  <property fmtid="{D5CDD505-2E9C-101B-9397-08002B2CF9AE}" pid="3" name="_docset_NoMedatataSyncRequired">
    <vt:lpwstr>False</vt:lpwstr>
  </property>
</Properties>
</file>