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120" yWindow="120" windowWidth="1980" windowHeight="8820" tabRatio="653"/>
  </bookViews>
  <sheets>
    <sheet name="Summary" sheetId="6" r:id="rId1"/>
    <sheet name="Facility Detail" sheetId="1" r:id="rId2"/>
    <sheet name="Generation Rollup" sheetId="9"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'Facility Detail'!$B$468:$B$477</definedName>
    <definedName name="LaborBonus" localSheetId="2">'Facility Detail'!$B$457:$B$459</definedName>
    <definedName name="LaborBonus">'Facility Detail'!$B$457:$B$459</definedName>
    <definedName name="OwnedCont">#REF!</definedName>
    <definedName name="_xlnm.Print_Area" localSheetId="1">'Facility Detail'!$A$1:$H$452</definedName>
    <definedName name="_xlnm.Print_Area" localSheetId="0">Summary!$A$1:$F$38</definedName>
    <definedName name="REN_Expenditure_Amount_2014">#REF!</definedName>
    <definedName name="REN_Load_2012">#REF!</definedName>
    <definedName name="REN_Load_2013">#REF!</definedName>
    <definedName name="REN_RetailRevenueRequirement_2014">#REF!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52511"/>
</workbook>
</file>

<file path=xl/calcChain.xml><?xml version="1.0" encoding="utf-8"?>
<calcChain xmlns="http://schemas.openxmlformats.org/spreadsheetml/2006/main">
  <c r="C419" i="1" l="1"/>
  <c r="B422" i="1" s="1"/>
  <c r="F444" i="1"/>
  <c r="B444" i="1"/>
  <c r="G443" i="1"/>
  <c r="G445" i="1" s="1"/>
  <c r="B443" i="1"/>
  <c r="E442" i="1"/>
  <c r="E445" i="1" s="1"/>
  <c r="B442" i="1"/>
  <c r="F441" i="1"/>
  <c r="F445" i="1" s="1"/>
  <c r="B441" i="1"/>
  <c r="D440" i="1"/>
  <c r="D445" i="1" s="1"/>
  <c r="B440" i="1"/>
  <c r="E439" i="1"/>
  <c r="B439" i="1"/>
  <c r="F438" i="1"/>
  <c r="G438" i="1" s="1"/>
  <c r="E438" i="1"/>
  <c r="G436" i="1"/>
  <c r="F436" i="1"/>
  <c r="E436" i="1"/>
  <c r="D436" i="1"/>
  <c r="E432" i="1"/>
  <c r="F432" i="1" s="1"/>
  <c r="G432" i="1" s="1"/>
  <c r="F427" i="1"/>
  <c r="G427" i="1" s="1"/>
  <c r="G425" i="1"/>
  <c r="F425" i="1"/>
  <c r="E425" i="1"/>
  <c r="D425" i="1"/>
  <c r="F421" i="1"/>
  <c r="G421" i="1" s="1"/>
  <c r="A32" i="9" l="1"/>
  <c r="B32" i="9"/>
  <c r="C32" i="9"/>
  <c r="D32" i="9"/>
  <c r="E32" i="9"/>
  <c r="F411" i="1" l="1"/>
  <c r="G410" i="1"/>
  <c r="G412" i="1" s="1"/>
  <c r="E409" i="1"/>
  <c r="F408" i="1"/>
  <c r="F412" i="1" s="1"/>
  <c r="D407" i="1"/>
  <c r="D412" i="1" s="1"/>
  <c r="E406" i="1"/>
  <c r="E412" i="1" s="1"/>
  <c r="F376" i="1"/>
  <c r="F377" i="1" s="1"/>
  <c r="G375" i="1"/>
  <c r="G377" i="1" s="1"/>
  <c r="E374" i="1"/>
  <c r="F373" i="1"/>
  <c r="D372" i="1"/>
  <c r="D377" i="1" s="1"/>
  <c r="E371" i="1"/>
  <c r="F341" i="1"/>
  <c r="G340" i="1"/>
  <c r="G342" i="1" s="1"/>
  <c r="E339" i="1"/>
  <c r="F338" i="1"/>
  <c r="D337" i="1"/>
  <c r="D342" i="1" s="1"/>
  <c r="E336" i="1"/>
  <c r="D307" i="1"/>
  <c r="F306" i="1"/>
  <c r="G305" i="1"/>
  <c r="G307" i="1" s="1"/>
  <c r="E304" i="1"/>
  <c r="F303" i="1"/>
  <c r="D302" i="1"/>
  <c r="E301" i="1"/>
  <c r="E307" i="1" s="1"/>
  <c r="F271" i="1"/>
  <c r="G270" i="1"/>
  <c r="G272" i="1" s="1"/>
  <c r="E269" i="1"/>
  <c r="F268" i="1"/>
  <c r="F272" i="1" s="1"/>
  <c r="D267" i="1"/>
  <c r="D272" i="1" s="1"/>
  <c r="E266" i="1"/>
  <c r="E272" i="1" s="1"/>
  <c r="F236" i="1"/>
  <c r="G235" i="1"/>
  <c r="G237" i="1" s="1"/>
  <c r="E234" i="1"/>
  <c r="F233" i="1"/>
  <c r="F237" i="1" s="1"/>
  <c r="D232" i="1"/>
  <c r="D237" i="1" s="1"/>
  <c r="E231" i="1"/>
  <c r="E237" i="1" s="1"/>
  <c r="F201" i="1"/>
  <c r="G200" i="1"/>
  <c r="G202" i="1" s="1"/>
  <c r="E199" i="1"/>
  <c r="F198" i="1"/>
  <c r="D197" i="1"/>
  <c r="D202" i="1" s="1"/>
  <c r="E196" i="1"/>
  <c r="G167" i="1"/>
  <c r="F166" i="1"/>
  <c r="G165" i="1"/>
  <c r="E164" i="1"/>
  <c r="F163" i="1"/>
  <c r="F167" i="1" s="1"/>
  <c r="D162" i="1"/>
  <c r="D167" i="1" s="1"/>
  <c r="E161" i="1"/>
  <c r="F131" i="1"/>
  <c r="G130" i="1"/>
  <c r="G132" i="1" s="1"/>
  <c r="E129" i="1"/>
  <c r="F128" i="1"/>
  <c r="D127" i="1"/>
  <c r="D132" i="1" s="1"/>
  <c r="E126" i="1"/>
  <c r="D97" i="1"/>
  <c r="F96" i="1"/>
  <c r="G95" i="1"/>
  <c r="G97" i="1" s="1"/>
  <c r="E94" i="1"/>
  <c r="F93" i="1"/>
  <c r="F97" i="1" s="1"/>
  <c r="D92" i="1"/>
  <c r="E91" i="1"/>
  <c r="E97" i="1" s="1"/>
  <c r="F61" i="1"/>
  <c r="B61" i="1"/>
  <c r="B411" i="1"/>
  <c r="B376" i="1"/>
  <c r="B341" i="1"/>
  <c r="B306" i="1"/>
  <c r="B271" i="1"/>
  <c r="B236" i="1"/>
  <c r="B201" i="1"/>
  <c r="B166" i="1"/>
  <c r="B131" i="1"/>
  <c r="B96" i="1"/>
  <c r="G60" i="1"/>
  <c r="G62" i="1" s="1"/>
  <c r="E59" i="1"/>
  <c r="F132" i="1" l="1"/>
  <c r="E167" i="1"/>
  <c r="E202" i="1"/>
  <c r="E342" i="1"/>
  <c r="E132" i="1"/>
  <c r="F202" i="1"/>
  <c r="F307" i="1"/>
  <c r="F342" i="1"/>
  <c r="E377" i="1"/>
  <c r="B410" i="1"/>
  <c r="B375" i="1"/>
  <c r="B340" i="1"/>
  <c r="B305" i="1"/>
  <c r="B270" i="1"/>
  <c r="B235" i="1"/>
  <c r="B200" i="1"/>
  <c r="B165" i="1"/>
  <c r="B130" i="1"/>
  <c r="B95" i="1"/>
  <c r="B60" i="1"/>
  <c r="F26" i="6"/>
  <c r="E26" i="6"/>
  <c r="E24" i="6"/>
  <c r="F24" i="6"/>
  <c r="E23" i="6"/>
  <c r="F23" i="6"/>
  <c r="A27" i="6"/>
  <c r="A26" i="6"/>
  <c r="E19" i="6"/>
  <c r="F19" i="6"/>
  <c r="E18" i="6"/>
  <c r="F18" i="6"/>
  <c r="E17" i="6"/>
  <c r="F17" i="6"/>
  <c r="E9" i="6"/>
  <c r="F9" i="6"/>
  <c r="G403" i="1"/>
  <c r="G396" i="1"/>
  <c r="G392" i="1"/>
  <c r="G395" i="1" s="1"/>
  <c r="G368" i="1"/>
  <c r="G361" i="1"/>
  <c r="G360" i="1"/>
  <c r="G357" i="1"/>
  <c r="G333" i="1"/>
  <c r="G326" i="1"/>
  <c r="G325" i="1"/>
  <c r="G322" i="1"/>
  <c r="G298" i="1"/>
  <c r="G291" i="1"/>
  <c r="G290" i="1"/>
  <c r="G287" i="1"/>
  <c r="G263" i="1"/>
  <c r="G256" i="1"/>
  <c r="G255" i="1"/>
  <c r="G252" i="1"/>
  <c r="G228" i="1"/>
  <c r="G221" i="1"/>
  <c r="G220" i="1"/>
  <c r="G217" i="1"/>
  <c r="G193" i="1"/>
  <c r="G186" i="1"/>
  <c r="G185" i="1"/>
  <c r="G182" i="1"/>
  <c r="G158" i="1"/>
  <c r="G151" i="1"/>
  <c r="G150" i="1"/>
  <c r="G147" i="1"/>
  <c r="G123" i="1"/>
  <c r="G116" i="1"/>
  <c r="G115" i="1"/>
  <c r="G112" i="1"/>
  <c r="G88" i="1"/>
  <c r="G81" i="1"/>
  <c r="G80" i="1"/>
  <c r="G77" i="1"/>
  <c r="G53" i="1"/>
  <c r="G46" i="1"/>
  <c r="G45" i="1"/>
  <c r="G42" i="1"/>
  <c r="F12" i="6" s="1"/>
  <c r="D19" i="6"/>
  <c r="D17" i="6"/>
  <c r="C19" i="6"/>
  <c r="C17" i="6"/>
  <c r="G47" i="1" l="1"/>
  <c r="G117" i="1"/>
  <c r="G257" i="1"/>
  <c r="G397" i="1"/>
  <c r="G82" i="1"/>
  <c r="G222" i="1"/>
  <c r="G362" i="1"/>
  <c r="G187" i="1"/>
  <c r="G327" i="1"/>
  <c r="G152" i="1"/>
  <c r="G292" i="1"/>
  <c r="F20" i="6"/>
  <c r="E20" i="6"/>
  <c r="C32" i="6"/>
  <c r="F13" i="6" l="1"/>
  <c r="F14" i="6"/>
  <c r="F32" i="6"/>
  <c r="E32" i="6"/>
  <c r="F30" i="6" l="1"/>
  <c r="D30" i="6"/>
  <c r="D25" i="6"/>
  <c r="D24" i="6"/>
  <c r="D18" i="6"/>
  <c r="C30" i="6"/>
  <c r="C23" i="6"/>
  <c r="C18" i="6"/>
  <c r="C20" i="6" l="1"/>
  <c r="E182" i="1"/>
  <c r="F182" i="1"/>
  <c r="A35" i="6"/>
  <c r="F58" i="1" l="1"/>
  <c r="F62" i="1" s="1"/>
  <c r="D57" i="1"/>
  <c r="E56" i="1"/>
  <c r="G101" i="1"/>
  <c r="F22" i="9" s="1"/>
  <c r="G136" i="1"/>
  <c r="F23" i="9" s="1"/>
  <c r="G171" i="1"/>
  <c r="F24" i="9" s="1"/>
  <c r="G206" i="1"/>
  <c r="F25" i="9" s="1"/>
  <c r="G241" i="1"/>
  <c r="F26" i="9" s="1"/>
  <c r="G276" i="1"/>
  <c r="F27" i="9" s="1"/>
  <c r="G311" i="1"/>
  <c r="F28" i="9" s="1"/>
  <c r="G346" i="1"/>
  <c r="F29" i="9" s="1"/>
  <c r="D23" i="6" l="1"/>
  <c r="G416" i="1"/>
  <c r="F31" i="9" s="1"/>
  <c r="B31" i="9"/>
  <c r="A31" i="9"/>
  <c r="B30" i="9"/>
  <c r="A30" i="9"/>
  <c r="B29" i="9"/>
  <c r="A29" i="9"/>
  <c r="B28" i="9"/>
  <c r="A28" i="9"/>
  <c r="B27" i="9"/>
  <c r="A27" i="9"/>
  <c r="B26" i="9"/>
  <c r="A26" i="9"/>
  <c r="B25" i="9"/>
  <c r="A25" i="9"/>
  <c r="B24" i="9"/>
  <c r="A24" i="9"/>
  <c r="B23" i="9"/>
  <c r="A23" i="9"/>
  <c r="B22" i="9"/>
  <c r="A22" i="9"/>
  <c r="B21" i="9"/>
  <c r="A21" i="9"/>
  <c r="C13" i="9" l="1"/>
  <c r="E8" i="9"/>
  <c r="E9" i="9"/>
  <c r="E10" i="9"/>
  <c r="E12" i="9"/>
  <c r="E6" i="9"/>
  <c r="E11" i="9"/>
  <c r="E13" i="9"/>
  <c r="C12" i="9"/>
  <c r="B13" i="9"/>
  <c r="B12" i="9"/>
  <c r="D11" i="9"/>
  <c r="C10" i="9"/>
  <c r="D6" i="9"/>
  <c r="C6" i="9"/>
  <c r="D9" i="9"/>
  <c r="C9" i="9"/>
  <c r="B9" i="9"/>
  <c r="B10" i="9"/>
  <c r="D12" i="9"/>
  <c r="B6" i="9"/>
  <c r="D8" i="9"/>
  <c r="C11" i="9"/>
  <c r="C8" i="9"/>
  <c r="B11" i="9"/>
  <c r="D13" i="9"/>
  <c r="B8" i="9"/>
  <c r="D10" i="9"/>
  <c r="D9" i="6"/>
  <c r="D26" i="6"/>
  <c r="C24" i="6"/>
  <c r="E357" i="1"/>
  <c r="G66" i="1" l="1"/>
  <c r="F21" i="9" s="1"/>
  <c r="A25" i="6"/>
  <c r="A24" i="6"/>
  <c r="A23" i="6"/>
  <c r="B409" i="1"/>
  <c r="B408" i="1"/>
  <c r="B407" i="1"/>
  <c r="B406" i="1"/>
  <c r="B374" i="1"/>
  <c r="B373" i="1"/>
  <c r="B372" i="1"/>
  <c r="B371" i="1"/>
  <c r="B339" i="1"/>
  <c r="B338" i="1"/>
  <c r="B337" i="1"/>
  <c r="B336" i="1"/>
  <c r="B304" i="1"/>
  <c r="B303" i="1"/>
  <c r="B302" i="1"/>
  <c r="B301" i="1"/>
  <c r="B269" i="1"/>
  <c r="B268" i="1"/>
  <c r="B267" i="1"/>
  <c r="B266" i="1"/>
  <c r="B234" i="1"/>
  <c r="B233" i="1"/>
  <c r="B232" i="1"/>
  <c r="B231" i="1"/>
  <c r="B199" i="1"/>
  <c r="B198" i="1"/>
  <c r="B197" i="1"/>
  <c r="B196" i="1"/>
  <c r="B164" i="1"/>
  <c r="B163" i="1"/>
  <c r="B162" i="1"/>
  <c r="B161" i="1"/>
  <c r="B129" i="1"/>
  <c r="B128" i="1"/>
  <c r="B127" i="1"/>
  <c r="B126" i="1"/>
  <c r="B94" i="1"/>
  <c r="B93" i="1"/>
  <c r="B92" i="1"/>
  <c r="B91" i="1"/>
  <c r="F392" i="1"/>
  <c r="F395" i="1" s="1"/>
  <c r="E392" i="1"/>
  <c r="E395" i="1" s="1"/>
  <c r="D392" i="1"/>
  <c r="D395" i="1" s="1"/>
  <c r="F357" i="1"/>
  <c r="D357" i="1"/>
  <c r="D360" i="1" s="1"/>
  <c r="F322" i="1"/>
  <c r="E322" i="1"/>
  <c r="D322" i="1"/>
  <c r="F287" i="1"/>
  <c r="E287" i="1"/>
  <c r="D287" i="1"/>
  <c r="F252" i="1"/>
  <c r="E252" i="1"/>
  <c r="D252" i="1"/>
  <c r="F217" i="1"/>
  <c r="E217" i="1"/>
  <c r="D217" i="1"/>
  <c r="D182" i="1"/>
  <c r="F147" i="1"/>
  <c r="E147" i="1"/>
  <c r="D147" i="1"/>
  <c r="F112" i="1"/>
  <c r="E112" i="1"/>
  <c r="D112" i="1"/>
  <c r="F77" i="1"/>
  <c r="E77" i="1"/>
  <c r="D77" i="1"/>
  <c r="F42" i="1"/>
  <c r="E42" i="1"/>
  <c r="D42" i="1"/>
  <c r="A20" i="6"/>
  <c r="F403" i="1"/>
  <c r="E403" i="1"/>
  <c r="D403" i="1"/>
  <c r="F368" i="1"/>
  <c r="E368" i="1"/>
  <c r="D368" i="1"/>
  <c r="F333" i="1"/>
  <c r="E333" i="1"/>
  <c r="D333" i="1"/>
  <c r="F298" i="1"/>
  <c r="E298" i="1"/>
  <c r="D298" i="1"/>
  <c r="F263" i="1"/>
  <c r="E263" i="1"/>
  <c r="D263" i="1"/>
  <c r="F228" i="1"/>
  <c r="E228" i="1"/>
  <c r="D228" i="1"/>
  <c r="F193" i="1"/>
  <c r="E193" i="1"/>
  <c r="D193" i="1"/>
  <c r="F158" i="1"/>
  <c r="E158" i="1"/>
  <c r="D158" i="1"/>
  <c r="F123" i="1"/>
  <c r="E123" i="1"/>
  <c r="F88" i="1"/>
  <c r="E88" i="1"/>
  <c r="D88" i="1"/>
  <c r="F53" i="1"/>
  <c r="E53" i="1"/>
  <c r="D53" i="1"/>
  <c r="D32" i="6"/>
  <c r="C386" i="1"/>
  <c r="C351" i="1"/>
  <c r="B354" i="1" s="1"/>
  <c r="C316" i="1"/>
  <c r="B319" i="1" s="1"/>
  <c r="C281" i="1"/>
  <c r="B284" i="1" s="1"/>
  <c r="C246" i="1"/>
  <c r="B249" i="1" s="1"/>
  <c r="C211" i="1"/>
  <c r="B214" i="1" s="1"/>
  <c r="C176" i="1"/>
  <c r="B179" i="1" s="1"/>
  <c r="C141" i="1"/>
  <c r="B144" i="1" s="1"/>
  <c r="C106" i="1"/>
  <c r="B109" i="1" s="1"/>
  <c r="C71" i="1"/>
  <c r="B74" i="1" s="1"/>
  <c r="F45" i="1"/>
  <c r="F46" i="1"/>
  <c r="F80" i="1"/>
  <c r="F81" i="1"/>
  <c r="F115" i="1"/>
  <c r="F116" i="1"/>
  <c r="F150" i="1"/>
  <c r="F151" i="1"/>
  <c r="F185" i="1"/>
  <c r="F186" i="1"/>
  <c r="F220" i="1"/>
  <c r="F221" i="1"/>
  <c r="F255" i="1"/>
  <c r="F256" i="1"/>
  <c r="F290" i="1"/>
  <c r="F291" i="1"/>
  <c r="F325" i="1"/>
  <c r="F327" i="1" s="1"/>
  <c r="F326" i="1"/>
  <c r="F360" i="1"/>
  <c r="F361" i="1"/>
  <c r="F396" i="1"/>
  <c r="E45" i="1"/>
  <c r="E46" i="1"/>
  <c r="E80" i="1"/>
  <c r="E81" i="1"/>
  <c r="E115" i="1"/>
  <c r="E116" i="1"/>
  <c r="E150" i="1"/>
  <c r="E151" i="1"/>
  <c r="E185" i="1"/>
  <c r="E186" i="1"/>
  <c r="E220" i="1"/>
  <c r="E221" i="1"/>
  <c r="E255" i="1"/>
  <c r="E256" i="1"/>
  <c r="E290" i="1"/>
  <c r="E291" i="1"/>
  <c r="E325" i="1"/>
  <c r="E326" i="1"/>
  <c r="E360" i="1"/>
  <c r="E361" i="1"/>
  <c r="D45" i="1"/>
  <c r="D46" i="1"/>
  <c r="D80" i="1"/>
  <c r="D81" i="1"/>
  <c r="D115" i="1"/>
  <c r="D116" i="1"/>
  <c r="D150" i="1"/>
  <c r="D151" i="1"/>
  <c r="D185" i="1"/>
  <c r="D186" i="1"/>
  <c r="D220" i="1"/>
  <c r="D221" i="1"/>
  <c r="D255" i="1"/>
  <c r="D256" i="1"/>
  <c r="D290" i="1"/>
  <c r="D291" i="1"/>
  <c r="D325" i="1"/>
  <c r="D326" i="1"/>
  <c r="D361" i="1"/>
  <c r="B57" i="1"/>
  <c r="B59" i="1"/>
  <c r="B58" i="1"/>
  <c r="B56" i="1"/>
  <c r="D62" i="1"/>
  <c r="C22" i="6"/>
  <c r="B22" i="6" s="1"/>
  <c r="E405" i="1"/>
  <c r="F405" i="1" s="1"/>
  <c r="G405" i="1" s="1"/>
  <c r="E370" i="1"/>
  <c r="F370" i="1" s="1"/>
  <c r="G370" i="1" s="1"/>
  <c r="E335" i="1"/>
  <c r="F335" i="1" s="1"/>
  <c r="G335" i="1" s="1"/>
  <c r="E300" i="1"/>
  <c r="F300" i="1" s="1"/>
  <c r="G300" i="1" s="1"/>
  <c r="E265" i="1"/>
  <c r="F265" i="1" s="1"/>
  <c r="G265" i="1" s="1"/>
  <c r="E230" i="1"/>
  <c r="F230" i="1" s="1"/>
  <c r="G230" i="1" s="1"/>
  <c r="E195" i="1"/>
  <c r="F195" i="1" s="1"/>
  <c r="G195" i="1" s="1"/>
  <c r="E160" i="1"/>
  <c r="F160" i="1" s="1"/>
  <c r="G160" i="1" s="1"/>
  <c r="E125" i="1"/>
  <c r="F125" i="1" s="1"/>
  <c r="G125" i="1" s="1"/>
  <c r="E90" i="1"/>
  <c r="F90" i="1" s="1"/>
  <c r="G90" i="1" s="1"/>
  <c r="E55" i="1"/>
  <c r="F55" i="1" s="1"/>
  <c r="G55" i="1" s="1"/>
  <c r="C16" i="6"/>
  <c r="B16" i="6" s="1"/>
  <c r="C11" i="6"/>
  <c r="B11" i="6" s="1"/>
  <c r="C6" i="6"/>
  <c r="D6" i="6" s="1"/>
  <c r="E6" i="6" s="1"/>
  <c r="F6" i="6" s="1"/>
  <c r="E399" i="1"/>
  <c r="F399" i="1" s="1"/>
  <c r="G399" i="1" s="1"/>
  <c r="F394" i="1"/>
  <c r="G394" i="1" s="1"/>
  <c r="E364" i="1"/>
  <c r="F364" i="1" s="1"/>
  <c r="G364" i="1" s="1"/>
  <c r="E359" i="1"/>
  <c r="F359" i="1" s="1"/>
  <c r="G359" i="1" s="1"/>
  <c r="E329" i="1"/>
  <c r="F329" i="1" s="1"/>
  <c r="G329" i="1" s="1"/>
  <c r="E324" i="1"/>
  <c r="F324" i="1" s="1"/>
  <c r="G324" i="1" s="1"/>
  <c r="E294" i="1"/>
  <c r="F294" i="1" s="1"/>
  <c r="G294" i="1" s="1"/>
  <c r="E289" i="1"/>
  <c r="F289" i="1" s="1"/>
  <c r="G289" i="1" s="1"/>
  <c r="E259" i="1"/>
  <c r="F259" i="1" s="1"/>
  <c r="G259" i="1" s="1"/>
  <c r="E254" i="1"/>
  <c r="F254" i="1" s="1"/>
  <c r="G254" i="1" s="1"/>
  <c r="E224" i="1"/>
  <c r="F224" i="1" s="1"/>
  <c r="G224" i="1" s="1"/>
  <c r="E219" i="1"/>
  <c r="F219" i="1" s="1"/>
  <c r="G219" i="1" s="1"/>
  <c r="E189" i="1"/>
  <c r="F189" i="1" s="1"/>
  <c r="G189" i="1" s="1"/>
  <c r="E184" i="1"/>
  <c r="F184" i="1" s="1"/>
  <c r="G184" i="1" s="1"/>
  <c r="E154" i="1"/>
  <c r="F154" i="1" s="1"/>
  <c r="G154" i="1" s="1"/>
  <c r="E149" i="1"/>
  <c r="F149" i="1" s="1"/>
  <c r="G149" i="1" s="1"/>
  <c r="E119" i="1"/>
  <c r="F119" i="1" s="1"/>
  <c r="G119" i="1" s="1"/>
  <c r="E114" i="1"/>
  <c r="F114" i="1" s="1"/>
  <c r="G114" i="1" s="1"/>
  <c r="E84" i="1"/>
  <c r="F84" i="1" s="1"/>
  <c r="G84" i="1" s="1"/>
  <c r="E79" i="1"/>
  <c r="F79" i="1" s="1"/>
  <c r="G79" i="1" s="1"/>
  <c r="C36" i="1"/>
  <c r="B39" i="1" s="1"/>
  <c r="E143" i="1"/>
  <c r="F143" i="1" s="1"/>
  <c r="G143" i="1" s="1"/>
  <c r="E108" i="1"/>
  <c r="F108" i="1" s="1"/>
  <c r="G108" i="1" s="1"/>
  <c r="F388" i="1"/>
  <c r="G388" i="1" s="1"/>
  <c r="E353" i="1"/>
  <c r="F353" i="1" s="1"/>
  <c r="G353" i="1" s="1"/>
  <c r="E318" i="1"/>
  <c r="F318" i="1" s="1"/>
  <c r="G318" i="1" s="1"/>
  <c r="E283" i="1"/>
  <c r="F283" i="1" s="1"/>
  <c r="G283" i="1" s="1"/>
  <c r="E248" i="1"/>
  <c r="F248" i="1" s="1"/>
  <c r="G248" i="1" s="1"/>
  <c r="E213" i="1"/>
  <c r="F213" i="1" s="1"/>
  <c r="G213" i="1" s="1"/>
  <c r="E178" i="1"/>
  <c r="F178" i="1" s="1"/>
  <c r="G178" i="1" s="1"/>
  <c r="E73" i="1"/>
  <c r="F73" i="1" s="1"/>
  <c r="G73" i="1" s="1"/>
  <c r="E38" i="1"/>
  <c r="E49" i="1" s="1"/>
  <c r="E12" i="6" l="1"/>
  <c r="D292" i="1"/>
  <c r="C12" i="6"/>
  <c r="D12" i="6"/>
  <c r="D429" i="1"/>
  <c r="E429" i="1"/>
  <c r="F429" i="1"/>
  <c r="G429" i="1"/>
  <c r="E428" i="1"/>
  <c r="E430" i="1" s="1"/>
  <c r="E449" i="1" s="1"/>
  <c r="F428" i="1"/>
  <c r="G428" i="1"/>
  <c r="G430" i="1" s="1"/>
  <c r="G449" i="1" s="1"/>
  <c r="F32" i="9" s="1"/>
  <c r="E5" i="9" s="1"/>
  <c r="D428" i="1"/>
  <c r="E117" i="1"/>
  <c r="E136" i="1" s="1"/>
  <c r="D23" i="9" s="1"/>
  <c r="F187" i="1"/>
  <c r="F206" i="1" s="1"/>
  <c r="D222" i="1"/>
  <c r="D241" i="1" s="1"/>
  <c r="C26" i="9" s="1"/>
  <c r="F292" i="1"/>
  <c r="F311" i="1" s="1"/>
  <c r="F152" i="1"/>
  <c r="F171" i="1" s="1"/>
  <c r="F47" i="1"/>
  <c r="D362" i="1"/>
  <c r="D381" i="1" s="1"/>
  <c r="C30" i="9" s="1"/>
  <c r="E292" i="1"/>
  <c r="E311" i="1" s="1"/>
  <c r="D28" i="9" s="1"/>
  <c r="E187" i="1"/>
  <c r="E47" i="1"/>
  <c r="B389" i="1"/>
  <c r="D49" i="1"/>
  <c r="B32" i="6"/>
  <c r="E44" i="1"/>
  <c r="F38" i="1"/>
  <c r="F49" i="1" s="1"/>
  <c r="D327" i="1"/>
  <c r="D346" i="1" s="1"/>
  <c r="C29" i="9" s="1"/>
  <c r="D187" i="1"/>
  <c r="D206" i="1" s="1"/>
  <c r="C25" i="9" s="1"/>
  <c r="D47" i="1"/>
  <c r="D16" i="6"/>
  <c r="E16" i="6" s="1"/>
  <c r="F16" i="6" s="1"/>
  <c r="D22" i="6"/>
  <c r="E22" i="6" s="1"/>
  <c r="F22" i="6" s="1"/>
  <c r="D117" i="1"/>
  <c r="E82" i="1"/>
  <c r="E101" i="1" s="1"/>
  <c r="D22" i="9" s="1"/>
  <c r="E257" i="1"/>
  <c r="E276" i="1" s="1"/>
  <c r="D27" i="9" s="1"/>
  <c r="F346" i="1"/>
  <c r="F257" i="1"/>
  <c r="F276" i="1" s="1"/>
  <c r="D257" i="1"/>
  <c r="D276" i="1" s="1"/>
  <c r="C27" i="9" s="1"/>
  <c r="E362" i="1"/>
  <c r="D396" i="1"/>
  <c r="D397" i="1" s="1"/>
  <c r="D11" i="6"/>
  <c r="E11" i="6" s="1"/>
  <c r="F11" i="6" s="1"/>
  <c r="D311" i="1"/>
  <c r="C28" i="9" s="1"/>
  <c r="F397" i="1"/>
  <c r="F416" i="1" s="1"/>
  <c r="D20" i="6"/>
  <c r="E62" i="1"/>
  <c r="E396" i="1"/>
  <c r="E397" i="1" s="1"/>
  <c r="F362" i="1"/>
  <c r="E327" i="1"/>
  <c r="F222" i="1"/>
  <c r="F241" i="1" s="1"/>
  <c r="E222" i="1"/>
  <c r="F82" i="1"/>
  <c r="F101" i="1" s="1"/>
  <c r="D82" i="1"/>
  <c r="D101" i="1" s="1"/>
  <c r="C22" i="9" s="1"/>
  <c r="D152" i="1"/>
  <c r="E152" i="1"/>
  <c r="F117" i="1"/>
  <c r="F136" i="1" s="1"/>
  <c r="B6" i="6"/>
  <c r="D430" i="1" l="1"/>
  <c r="D449" i="1" s="1"/>
  <c r="D66" i="1"/>
  <c r="C21" i="9" s="1"/>
  <c r="C13" i="6"/>
  <c r="C14" i="6" s="1"/>
  <c r="D13" i="6"/>
  <c r="E13" i="6"/>
  <c r="F430" i="1"/>
  <c r="F449" i="1" s="1"/>
  <c r="F44" i="1"/>
  <c r="G38" i="1"/>
  <c r="E14" i="6"/>
  <c r="F66" i="1"/>
  <c r="E21" i="9" s="1"/>
  <c r="D14" i="6"/>
  <c r="E23" i="9"/>
  <c r="E22" i="9"/>
  <c r="E26" i="9"/>
  <c r="E27" i="9"/>
  <c r="E29" i="9"/>
  <c r="E24" i="9"/>
  <c r="E28" i="9"/>
  <c r="E25" i="9"/>
  <c r="E346" i="1"/>
  <c r="D29" i="9" s="1"/>
  <c r="E241" i="1"/>
  <c r="D26" i="9" s="1"/>
  <c r="E206" i="1"/>
  <c r="D25" i="9" s="1"/>
  <c r="E66" i="1"/>
  <c r="D21" i="9" s="1"/>
  <c r="D171" i="1"/>
  <c r="C24" i="9" s="1"/>
  <c r="E171" i="1"/>
  <c r="D24" i="9" s="1"/>
  <c r="D123" i="1"/>
  <c r="D136" i="1" s="1"/>
  <c r="C23" i="9" s="1"/>
  <c r="E25" i="6" l="1"/>
  <c r="G44" i="1"/>
  <c r="G49" i="1"/>
  <c r="E31" i="9"/>
  <c r="D5" i="9" s="1"/>
  <c r="C28" i="6"/>
  <c r="C33" i="6" s="1"/>
  <c r="E381" i="1" l="1"/>
  <c r="D30" i="9" s="1"/>
  <c r="F381" i="1"/>
  <c r="E30" i="9" s="1"/>
  <c r="D7" i="9" s="1"/>
  <c r="D14" i="9" s="1"/>
  <c r="E27" i="6"/>
  <c r="E28" i="6" s="1"/>
  <c r="E33" i="6" s="1"/>
  <c r="F25" i="6"/>
  <c r="D416" i="1"/>
  <c r="C31" i="9" s="1"/>
  <c r="B5" i="9" s="1"/>
  <c r="B7" i="9"/>
  <c r="D27" i="6"/>
  <c r="D28" i="6" s="1"/>
  <c r="D33" i="6" s="1"/>
  <c r="E416" i="1" l="1"/>
  <c r="D31" i="9" s="1"/>
  <c r="C5" i="9" s="1"/>
  <c r="G381" i="1"/>
  <c r="F30" i="9" s="1"/>
  <c r="E7" i="9" s="1"/>
  <c r="E14" i="9" s="1"/>
  <c r="F27" i="6"/>
  <c r="F28" i="6" s="1"/>
  <c r="F33" i="6" s="1"/>
  <c r="B14" i="9"/>
  <c r="C7" i="9"/>
  <c r="C14" i="9" l="1"/>
</calcChain>
</file>

<file path=xl/sharedStrings.xml><?xml version="1.0" encoding="utf-8"?>
<sst xmlns="http://schemas.openxmlformats.org/spreadsheetml/2006/main" count="401" uniqueCount="108">
  <si>
    <t>Eligible</t>
  </si>
  <si>
    <t>Not Eligible</t>
  </si>
  <si>
    <t>---</t>
  </si>
  <si>
    <t>Reporting Entity:</t>
  </si>
  <si>
    <t>Facility Name:</t>
  </si>
  <si>
    <t>Reporting Date:</t>
  </si>
  <si>
    <t>Distributed Generation Bonus</t>
  </si>
  <si>
    <t>Quantity Required for Compliance</t>
  </si>
  <si>
    <t>Start Year</t>
  </si>
  <si>
    <t>WA State RCW 19.285 Requirement</t>
  </si>
  <si>
    <t>Facility 13</t>
  </si>
  <si>
    <t>Facility 14</t>
  </si>
  <si>
    <t>Facility 15</t>
  </si>
  <si>
    <t>Facility 16</t>
  </si>
  <si>
    <t>Facility 17</t>
  </si>
  <si>
    <t>Facility 18</t>
  </si>
  <si>
    <t>Facility 19</t>
  </si>
  <si>
    <t>Facility 20</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</si>
  <si>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</si>
  <si>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</si>
  <si>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</si>
  <si>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</si>
  <si>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</si>
  <si>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</si>
  <si>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</si>
  <si>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</si>
  <si>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</si>
  <si>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</si>
  <si>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</si>
  <si>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</si>
  <si>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</si>
  <si>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</si>
  <si>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</si>
  <si>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</si>
  <si>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Net Surplus Adjustments</t>
  </si>
  <si>
    <t>Percent of Qualifying MWh Allocated to WA</t>
  </si>
  <si>
    <t>MWh Allocated to WA Compliance</t>
  </si>
  <si>
    <t>Eligible MWh Available for RCW 19.285 Compliance</t>
  </si>
  <si>
    <t>Bonus Incentives Transferred</t>
  </si>
  <si>
    <t>Renewable Bonus Incentives</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</si>
  <si>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</si>
  <si>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</si>
  <si>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</si>
  <si>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</si>
  <si>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</si>
  <si>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</si>
  <si>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</si>
  <si>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Quantity from Bonus Incentives</t>
  </si>
  <si>
    <t>Total Quantity from Bonus Incentives</t>
  </si>
  <si>
    <t>Qualifying MWh Allocated to WA</t>
  </si>
  <si>
    <t>Quantity of RECs Sold</t>
  </si>
  <si>
    <t>Facility Name</t>
  </si>
  <si>
    <t>Bonus Incentives Not Realized</t>
  </si>
  <si>
    <t>Total Sold / Transferred / Unrealized</t>
  </si>
  <si>
    <t>Adjustments</t>
  </si>
  <si>
    <t>Palouse Wind</t>
  </si>
  <si>
    <t>Avista</t>
  </si>
  <si>
    <t>Long Lake #3</t>
  </si>
  <si>
    <t>Little Falls #4</t>
  </si>
  <si>
    <t>Cabinet Gorge #2</t>
  </si>
  <si>
    <t>Cabinet Gorge #3</t>
  </si>
  <si>
    <t>Cabinet Gorge #4</t>
  </si>
  <si>
    <t>Noxon Rapids #1</t>
  </si>
  <si>
    <t>Noxon Rapids #2</t>
  </si>
  <si>
    <t>Noxon Rapids #3</t>
  </si>
  <si>
    <t>Noxon Rapids #4</t>
  </si>
  <si>
    <t>Wanapum Fish Bypass</t>
  </si>
  <si>
    <t>Total</t>
  </si>
  <si>
    <t>W2103</t>
  </si>
  <si>
    <t>W2102</t>
  </si>
  <si>
    <t>W1560</t>
  </si>
  <si>
    <t>W1561</t>
  </si>
  <si>
    <t>W1562</t>
  </si>
  <si>
    <t>W1530</t>
  </si>
  <si>
    <t>W1552</t>
  </si>
  <si>
    <t>W1554</t>
  </si>
  <si>
    <t>W1555</t>
  </si>
  <si>
    <t>N/A</t>
  </si>
  <si>
    <t>Type</t>
  </si>
  <si>
    <t>Wind</t>
  </si>
  <si>
    <t>Contract</t>
  </si>
  <si>
    <t>4/2008</t>
  </si>
  <si>
    <t>Water (Incremental Hydro)</t>
  </si>
  <si>
    <t>Compliance Contribution by Generation Type</t>
  </si>
  <si>
    <t>Solar</t>
  </si>
  <si>
    <t>Biomass</t>
  </si>
  <si>
    <t>Geothermal</t>
  </si>
  <si>
    <t>Landfill Gas</t>
  </si>
  <si>
    <t>Sewage Treatment Gas</t>
  </si>
  <si>
    <t>Wave, Ocean, Tidal</t>
  </si>
  <si>
    <t>Biodiesel Fuel</t>
  </si>
  <si>
    <t>Facility Type</t>
  </si>
  <si>
    <t>Facility Types</t>
  </si>
  <si>
    <t>On-Line Date:</t>
  </si>
  <si>
    <t>Ownership/Contract:</t>
  </si>
  <si>
    <t>Ownership</t>
  </si>
  <si>
    <t>Eligible Quantity Acquired **</t>
  </si>
  <si>
    <t>W2906</t>
  </si>
  <si>
    <t>MWh Allocated to WA Compliance *</t>
  </si>
  <si>
    <t>* 2012 only shows a partial year to reflect the qualified generation in 2012 after the upgrade project at Noxon Rapids #4 was completed.</t>
  </si>
  <si>
    <t xml:space="preserve">MWh Allocated to WA Compliance </t>
  </si>
  <si>
    <t>RCW 19.285 Compliance Need</t>
  </si>
  <si>
    <t xml:space="preserve">Sales and Transfers </t>
  </si>
  <si>
    <t>Bonus Incentives Not Realized***</t>
  </si>
  <si>
    <t>***The Company sold RECs  from its Paluse Wind facility, which has been certified to receive bonus apprenticeship credits, to a non-Washington utility, thus the bonus incentives were not realized.</t>
  </si>
  <si>
    <t>Stateline Wind REC Purchase</t>
  </si>
  <si>
    <t>W249</t>
  </si>
  <si>
    <t xml:space="preserve">** In 2008, Avista purchased 50,000 renewable energy certificates per year generated from the Stateline Wind Project for the 2012 through 2015 period to comply with RCW 19.285 requirements.  The renewable energy certificates for 2012 through 2014 were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</si>
</sst>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409]mmmm\ d\,\ yyyy;@"/>
  </numFmts>
  <fonts count="14" x14ac:knownFonts="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b/>
      <sz val="16"/>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sz val="10"/>
      <color theme="1"/>
      <name val="Arial"/>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s>
  <borders count="34">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DashDotDot">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79">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2"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0" borderId="0" xfId="0" applyFont="1" applyAlignment="1">
      <alignment horizontal="center" vertical="center" wrapText="1"/>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3" xfId="0" applyFont="1" applyFill="1" applyBorder="1" applyAlignment="1">
      <alignment horizontal="center"/>
    </xf>
    <xf numFmtId="0" fontId="2" fillId="3" borderId="14"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2" xfId="0" applyFont="1" applyFill="1" applyBorder="1" applyAlignment="1">
      <alignment horizontal="center"/>
    </xf>
    <xf numFmtId="164" fontId="2" fillId="4" borderId="0" xfId="1" applyNumberFormat="1" applyFont="1" applyFill="1" applyBorder="1"/>
    <xf numFmtId="164" fontId="3" fillId="4" borderId="15" xfId="1" applyNumberFormat="1" applyFont="1" applyFill="1" applyBorder="1"/>
    <xf numFmtId="164" fontId="2" fillId="5" borderId="0" xfId="1" applyNumberFormat="1" applyFont="1" applyFill="1" applyBorder="1"/>
    <xf numFmtId="164" fontId="3" fillId="5" borderId="15" xfId="1" applyNumberFormat="1" applyFont="1" applyFill="1" applyBorder="1"/>
    <xf numFmtId="164" fontId="3" fillId="0" borderId="15"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6" xfId="0" applyFont="1" applyFill="1" applyBorder="1" applyAlignment="1">
      <alignment horizontal="centerContinuous"/>
    </xf>
    <xf numFmtId="0" fontId="4" fillId="0" borderId="0" xfId="0" applyFont="1" applyFill="1" applyBorder="1"/>
    <xf numFmtId="164" fontId="7" fillId="6" borderId="17" xfId="1" applyNumberFormat="1" applyFont="1" applyFill="1" applyBorder="1"/>
    <xf numFmtId="164" fontId="7" fillId="6" borderId="18" xfId="1" applyNumberFormat="1" applyFont="1" applyFill="1" applyBorder="1"/>
    <xf numFmtId="164" fontId="7" fillId="6" borderId="19" xfId="1" applyNumberFormat="1" applyFont="1" applyFill="1" applyBorder="1"/>
    <xf numFmtId="43" fontId="2" fillId="0" borderId="0" xfId="1" applyFont="1"/>
    <xf numFmtId="164" fontId="3" fillId="5" borderId="0" xfId="1" applyNumberFormat="1" applyFont="1" applyFill="1" applyBorder="1"/>
    <xf numFmtId="9" fontId="2" fillId="2" borderId="11" xfId="2" applyFont="1" applyFill="1" applyBorder="1" applyAlignment="1">
      <alignment horizontal="right"/>
    </xf>
    <xf numFmtId="9" fontId="2" fillId="2" borderId="12" xfId="2" applyFont="1" applyFill="1" applyBorder="1"/>
    <xf numFmtId="9" fontId="2" fillId="2" borderId="14" xfId="2" applyFont="1" applyFill="1" applyBorder="1"/>
    <xf numFmtId="164" fontId="2" fillId="0" borderId="1" xfId="1" applyNumberFormat="1" applyFont="1" applyFill="1" applyBorder="1"/>
    <xf numFmtId="164" fontId="2" fillId="0" borderId="11" xfId="1" applyNumberFormat="1" applyFont="1" applyFill="1" applyBorder="1"/>
    <xf numFmtId="164" fontId="2" fillId="0" borderId="12" xfId="1" applyNumberFormat="1" applyFont="1" applyBorder="1"/>
    <xf numFmtId="164" fontId="2" fillId="0" borderId="14" xfId="1" applyNumberFormat="1" applyFont="1" applyBorder="1"/>
    <xf numFmtId="9" fontId="2" fillId="2" borderId="20" xfId="2" applyFont="1" applyFill="1" applyBorder="1" applyAlignment="1">
      <alignment horizontal="right"/>
    </xf>
    <xf numFmtId="9" fontId="2" fillId="2" borderId="21" xfId="2" applyFont="1" applyFill="1" applyBorder="1"/>
    <xf numFmtId="9" fontId="2" fillId="2" borderId="22" xfId="2"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4" xfId="1" applyNumberFormat="1" applyFont="1" applyFill="1" applyBorder="1" applyAlignment="1"/>
    <xf numFmtId="164" fontId="2" fillId="0" borderId="2" xfId="1" applyNumberFormat="1" applyFont="1" applyFill="1" applyBorder="1"/>
    <xf numFmtId="164" fontId="2" fillId="0" borderId="12" xfId="1" applyNumberFormat="1" applyFont="1" applyFill="1" applyBorder="1"/>
    <xf numFmtId="164" fontId="2" fillId="7" borderId="3"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7" xfId="1" applyNumberFormat="1" applyFont="1" applyFill="1" applyBorder="1" applyAlignment="1">
      <alignment horizontal="center" vertical="center"/>
    </xf>
    <xf numFmtId="0" fontId="7" fillId="0" borderId="0" xfId="0" applyFont="1" applyAlignment="1">
      <alignment horizontal="left" vertical="center" wrapText="1"/>
    </xf>
    <xf numFmtId="164" fontId="7" fillId="6" borderId="18" xfId="1" applyNumberFormat="1" applyFont="1" applyFill="1" applyBorder="1" applyAlignment="1">
      <alignment horizontal="center" vertical="center"/>
    </xf>
    <xf numFmtId="164" fontId="2" fillId="0" borderId="2" xfId="1" applyNumberFormat="1" applyFont="1" applyFill="1" applyBorder="1" applyAlignment="1">
      <alignment horizontal="center"/>
    </xf>
    <xf numFmtId="164" fontId="2" fillId="0" borderId="12" xfId="1" applyNumberFormat="1" applyFont="1" applyFill="1" applyBorder="1" applyAlignment="1">
      <alignment horizontal="center" vertic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26" xfId="1" applyNumberFormat="1" applyFont="1" applyFill="1" applyBorder="1"/>
    <xf numFmtId="164" fontId="2" fillId="7" borderId="27" xfId="1" applyNumberFormat="1" applyFont="1" applyFill="1" applyBorder="1"/>
    <xf numFmtId="164" fontId="2" fillId="7" borderId="28" xfId="1" applyNumberFormat="1" applyFont="1" applyFill="1" applyBorder="1"/>
    <xf numFmtId="164" fontId="2" fillId="7" borderId="13" xfId="1" applyNumberFormat="1" applyFont="1" applyFill="1" applyBorder="1"/>
    <xf numFmtId="164" fontId="2" fillId="7" borderId="5" xfId="1" applyNumberFormat="1" applyFont="1" applyFill="1" applyBorder="1"/>
    <xf numFmtId="164" fontId="2" fillId="7" borderId="12"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23" xfId="0" applyBorder="1" applyAlignment="1"/>
    <xf numFmtId="0" fontId="7" fillId="0" borderId="0" xfId="0" applyFont="1" applyBorder="1"/>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0" fillId="0" borderId="0" xfId="0" applyBorder="1" applyAlignment="1"/>
    <xf numFmtId="0" fontId="2" fillId="0" borderId="0" xfId="0" applyFont="1" applyFill="1" applyBorder="1" applyAlignment="1">
      <alignment horizontal="left"/>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13"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7" borderId="20" xfId="1" applyNumberFormat="1" applyFont="1" applyFill="1" applyBorder="1" applyAlignment="1">
      <alignment horizontal="left" vertical="center" wrapText="1" shrinkToFit="1"/>
    </xf>
    <xf numFmtId="164" fontId="2" fillId="0" borderId="21" xfId="1" applyNumberFormat="1" applyFont="1" applyFill="1" applyBorder="1" applyAlignment="1">
      <alignment horizontal="center" vertical="center"/>
    </xf>
    <xf numFmtId="9" fontId="2" fillId="7" borderId="11" xfId="2" applyFont="1" applyFill="1" applyBorder="1" applyAlignment="1">
      <alignment horizontal="center"/>
    </xf>
    <xf numFmtId="9" fontId="2" fillId="0" borderId="12" xfId="2" applyFont="1" applyBorder="1" applyAlignment="1">
      <alignment horizontal="center"/>
    </xf>
    <xf numFmtId="9" fontId="2" fillId="0" borderId="14" xfId="2" applyFont="1" applyBorder="1" applyAlignment="1">
      <alignment horizontal="center"/>
    </xf>
    <xf numFmtId="164" fontId="2" fillId="0" borderId="15" xfId="1" applyNumberFormat="1" applyFont="1" applyBorder="1" applyAlignment="1">
      <alignment horizontal="center"/>
    </xf>
    <xf numFmtId="164" fontId="2" fillId="0" borderId="15" xfId="1" applyNumberFormat="1" applyFont="1" applyFill="1" applyBorder="1" applyAlignment="1">
      <alignment horizontal="center"/>
    </xf>
    <xf numFmtId="164" fontId="2" fillId="2" borderId="17" xfId="1" applyNumberFormat="1" applyFont="1" applyFill="1" applyBorder="1"/>
    <xf numFmtId="164" fontId="2" fillId="2" borderId="18" xfId="1" applyNumberFormat="1" applyFont="1" applyFill="1" applyBorder="1"/>
    <xf numFmtId="164" fontId="2" fillId="2" borderId="19" xfId="1" applyNumberFormat="1" applyFont="1" applyFill="1" applyBorder="1"/>
    <xf numFmtId="164" fontId="2" fillId="7" borderId="17" xfId="1" applyNumberFormat="1" applyFont="1" applyFill="1" applyBorder="1"/>
    <xf numFmtId="164" fontId="2" fillId="0" borderId="18" xfId="1" applyNumberFormat="1" applyFont="1" applyBorder="1"/>
    <xf numFmtId="164" fontId="2" fillId="0" borderId="19"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8" fillId="0" borderId="0" xfId="3" applyFont="1"/>
    <xf numFmtId="0" fontId="9" fillId="0" borderId="0" xfId="3" applyFont="1"/>
    <xf numFmtId="0" fontId="10" fillId="0" borderId="0" xfId="3" applyFont="1" applyAlignment="1">
      <alignment horizontal="center"/>
    </xf>
    <xf numFmtId="0" fontId="10" fillId="0" borderId="0" xfId="3" applyFont="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164" fontId="10" fillId="0" borderId="10" xfId="1" applyNumberFormat="1" applyFont="1" applyBorder="1"/>
    <xf numFmtId="164" fontId="10" fillId="0" borderId="5" xfId="1" applyNumberFormat="1" applyFont="1" applyBorder="1"/>
    <xf numFmtId="164" fontId="10" fillId="0" borderId="13" xfId="1" applyNumberFormat="1" applyFont="1" applyBorder="1"/>
    <xf numFmtId="164" fontId="10" fillId="0" borderId="11" xfId="1" applyNumberFormat="1" applyFont="1" applyBorder="1"/>
    <xf numFmtId="164" fontId="10" fillId="0" borderId="12" xfId="1" applyNumberFormat="1" applyFont="1" applyBorder="1"/>
    <xf numFmtId="164" fontId="10" fillId="0" borderId="14" xfId="1" applyNumberFormat="1" applyFont="1" applyBorder="1"/>
    <xf numFmtId="0" fontId="11" fillId="0" borderId="0" xfId="3" applyFont="1"/>
    <xf numFmtId="164" fontId="11" fillId="0" borderId="0" xfId="1" applyNumberFormat="1" applyFont="1"/>
    <xf numFmtId="0" fontId="12" fillId="0" borderId="0" xfId="3" applyFont="1" applyAlignment="1">
      <alignment horizontal="left"/>
    </xf>
    <xf numFmtId="0" fontId="12" fillId="0" borderId="0" xfId="3" applyFont="1" applyAlignment="1">
      <alignment horizontal="center"/>
    </xf>
    <xf numFmtId="0" fontId="10" fillId="0" borderId="6" xfId="3" applyFont="1" applyBorder="1"/>
    <xf numFmtId="0" fontId="10" fillId="0" borderId="8" xfId="3" applyFont="1" applyBorder="1"/>
    <xf numFmtId="0" fontId="2" fillId="2" borderId="9" xfId="0" applyFont="1" applyFill="1" applyBorder="1"/>
    <xf numFmtId="14" fontId="2" fillId="3" borderId="2" xfId="0" applyNumberFormat="1" applyFont="1" applyFill="1" applyBorder="1" applyAlignment="1">
      <alignment horizontal="center"/>
    </xf>
    <xf numFmtId="14" fontId="2" fillId="3" borderId="5" xfId="0" applyNumberFormat="1" applyFont="1" applyFill="1" applyBorder="1" applyAlignment="1">
      <alignment horizontal="center"/>
    </xf>
    <xf numFmtId="164" fontId="2" fillId="0" borderId="0" xfId="0" applyNumberFormat="1" applyFont="1"/>
    <xf numFmtId="0" fontId="13" fillId="8" borderId="0" xfId="0" applyFont="1" applyFill="1"/>
    <xf numFmtId="0" fontId="13" fillId="8" borderId="0" xfId="0" applyFont="1" applyFill="1" applyAlignment="1"/>
    <xf numFmtId="164" fontId="13" fillId="8" borderId="0" xfId="1" applyNumberFormat="1" applyFont="1" applyFill="1"/>
    <xf numFmtId="0" fontId="1" fillId="8" borderId="0" xfId="0" applyFont="1" applyFill="1" applyBorder="1" applyAlignment="1">
      <alignment horizontal="right" wrapText="1"/>
    </xf>
    <xf numFmtId="0" fontId="2" fillId="0" borderId="0" xfId="0" applyFont="1" applyAlignment="1">
      <alignment vertical="center" wrapText="1"/>
    </xf>
    <xf numFmtId="164" fontId="2" fillId="0" borderId="32" xfId="1" applyNumberFormat="1" applyFont="1" applyBorder="1"/>
    <xf numFmtId="164" fontId="2" fillId="7" borderId="33" xfId="1" applyNumberFormat="1" applyFont="1" applyFill="1" applyBorder="1"/>
    <xf numFmtId="164" fontId="2" fillId="7" borderId="21" xfId="1" applyNumberFormat="1" applyFont="1" applyFill="1" applyBorder="1"/>
    <xf numFmtId="164" fontId="2" fillId="7" borderId="2" xfId="1" applyNumberFormat="1" applyFont="1" applyFill="1" applyBorder="1"/>
    <xf numFmtId="164" fontId="2" fillId="0" borderId="10" xfId="1" applyNumberFormat="1" applyFont="1" applyFill="1" applyBorder="1"/>
    <xf numFmtId="164" fontId="2" fillId="8" borderId="13" xfId="1" applyNumberFormat="1" applyFont="1" applyFill="1" applyBorder="1"/>
    <xf numFmtId="164" fontId="2" fillId="9" borderId="14" xfId="1" applyNumberFormat="1" applyFont="1" applyFill="1" applyBorder="1"/>
    <xf numFmtId="1" fontId="2" fillId="0" borderId="0" xfId="0" applyNumberFormat="1" applyFont="1"/>
    <xf numFmtId="43" fontId="6" fillId="2" borderId="29" xfId="0" applyNumberFormat="1" applyFont="1" applyFill="1" applyBorder="1" applyAlignment="1">
      <alignment horizontal="center" vertical="center"/>
    </xf>
    <xf numFmtId="43" fontId="6" fillId="2" borderId="30" xfId="0" applyNumberFormat="1" applyFont="1" applyFill="1" applyBorder="1" applyAlignment="1">
      <alignment horizontal="center" vertical="center"/>
    </xf>
    <xf numFmtId="43" fontId="6" fillId="2" borderId="16" xfId="0" applyNumberFormat="1" applyFont="1" applyFill="1" applyBorder="1" applyAlignment="1">
      <alignment horizontal="center" vertical="center"/>
    </xf>
    <xf numFmtId="165" fontId="4" fillId="2" borderId="29" xfId="0" applyNumberFormat="1" applyFont="1" applyFill="1" applyBorder="1" applyAlignment="1">
      <alignment horizontal="center" vertical="center"/>
    </xf>
    <xf numFmtId="165" fontId="4" fillId="2" borderId="16" xfId="0" applyNumberFormat="1"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2" fillId="0" borderId="31" xfId="0" applyFont="1" applyBorder="1" applyAlignment="1">
      <alignment horizontal="left" vertical="center" wrapText="1"/>
    </xf>
    <xf numFmtId="0" fontId="2" fillId="0" borderId="31" xfId="0" applyFont="1" applyBorder="1" applyAlignment="1">
      <alignment horizontal="left" vertical="top" wrapText="1"/>
    </xf>
  </cellXfs>
  <cellStyles count="4">
    <cellStyle name="Comma" xfId="1" builtinId="3"/>
    <cellStyle name="Normal" xfId="0" builtinId="0"/>
    <cellStyle name="Normal 2" xfId="3"/>
    <cellStyle name="Percent" xfId="2" builtinId="5"/>
  </cellStyles>
  <dxfs count="1">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39"/>
  <sheetViews>
    <sheetView showGridLines="0" tabSelected="1" view="pageBreakPreview" topLeftCell="A16" zoomScale="115" zoomScaleNormal="100" zoomScaleSheetLayoutView="115" workbookViewId="0">
      <selection activeCell="A37" sqref="A37:F37"/>
    </sheetView>
  </sheetViews>
  <sheetFormatPr defaultColWidth="12.109375" defaultRowHeight="14.4" x14ac:dyDescent="0.3"/>
  <cols>
    <col min="1" max="1" width="42.44140625" style="1" customWidth="1"/>
    <col min="2" max="6" width="16.44140625" style="1" customWidth="1"/>
    <col min="7" max="7" width="4.5546875" style="1" customWidth="1"/>
    <col min="8" max="8" width="16.5546875" style="1" customWidth="1"/>
    <col min="9" max="16384" width="12.109375" style="1"/>
  </cols>
  <sheetData>
    <row r="1" spans="1:14" x14ac:dyDescent="0.3">
      <c r="B1" s="15"/>
    </row>
    <row r="2" spans="1:14" ht="21" x14ac:dyDescent="0.4">
      <c r="A2" s="16" t="s">
        <v>3</v>
      </c>
      <c r="B2" s="169" t="s">
        <v>56</v>
      </c>
      <c r="C2" s="170"/>
      <c r="D2" s="170"/>
      <c r="E2" s="170"/>
      <c r="F2" s="171"/>
    </row>
    <row r="3" spans="1:14" x14ac:dyDescent="0.3">
      <c r="B3" s="15"/>
      <c r="J3" s="60"/>
    </row>
    <row r="4" spans="1:14" ht="18" x14ac:dyDescent="0.35">
      <c r="A4" s="9" t="s">
        <v>5</v>
      </c>
      <c r="B4" s="172">
        <v>42153</v>
      </c>
      <c r="C4" s="173"/>
      <c r="J4" s="60"/>
    </row>
    <row r="5" spans="1:14" x14ac:dyDescent="0.3">
      <c r="B5" s="15"/>
      <c r="J5" s="60"/>
    </row>
    <row r="6" spans="1:14" ht="18" x14ac:dyDescent="0.35">
      <c r="A6" s="9" t="s">
        <v>101</v>
      </c>
      <c r="B6" s="2">
        <f>C6 - 1</f>
        <v>2011</v>
      </c>
      <c r="C6" s="2">
        <f>'Facility Detail'!$B$465</f>
        <v>2012</v>
      </c>
      <c r="D6" s="2">
        <f>C6+1</f>
        <v>2013</v>
      </c>
      <c r="E6" s="2">
        <f>D6+1</f>
        <v>2014</v>
      </c>
      <c r="F6" s="2">
        <f>E6+1</f>
        <v>2015</v>
      </c>
      <c r="G6" s="24"/>
      <c r="J6" s="60"/>
      <c r="K6" s="24"/>
      <c r="L6" s="24"/>
      <c r="M6" s="24"/>
      <c r="N6" s="24"/>
    </row>
    <row r="7" spans="1:14" x14ac:dyDescent="0.3">
      <c r="A7" s="106" t="s">
        <v>29</v>
      </c>
      <c r="B7" s="11">
        <v>5602601</v>
      </c>
      <c r="C7" s="11">
        <v>5513396</v>
      </c>
      <c r="D7" s="11">
        <v>5678868</v>
      </c>
      <c r="E7" s="12">
        <v>5685958</v>
      </c>
      <c r="F7" s="12">
        <v>5724455</v>
      </c>
      <c r="G7" s="17"/>
      <c r="H7" s="156"/>
      <c r="I7" s="156"/>
      <c r="J7" s="156"/>
      <c r="K7" s="156"/>
      <c r="L7" s="156"/>
      <c r="M7" s="156"/>
      <c r="N7" s="17"/>
    </row>
    <row r="8" spans="1:14" x14ac:dyDescent="0.3">
      <c r="A8" s="106" t="s">
        <v>9</v>
      </c>
      <c r="B8" s="120"/>
      <c r="C8" s="121">
        <v>0.03</v>
      </c>
      <c r="D8" s="121">
        <v>0.03</v>
      </c>
      <c r="E8" s="122">
        <v>0.03</v>
      </c>
      <c r="F8" s="122">
        <v>0.03</v>
      </c>
      <c r="G8" s="25"/>
      <c r="H8" s="157"/>
      <c r="I8" s="156"/>
      <c r="J8" s="156"/>
      <c r="K8" s="156"/>
      <c r="L8" s="156"/>
      <c r="M8" s="156"/>
      <c r="N8" s="25"/>
    </row>
    <row r="9" spans="1:14" x14ac:dyDescent="0.3">
      <c r="A9" s="98" t="s">
        <v>7</v>
      </c>
      <c r="B9" s="124"/>
      <c r="C9" s="123">
        <v>166047</v>
      </c>
      <c r="D9" s="123">
        <f>ROUND( IF( SUM(B7:C7) = 0, 0, AVERAGE(B7:C7) * D8 ),0)</f>
        <v>166740</v>
      </c>
      <c r="E9" s="123">
        <f t="shared" ref="E9" si="0">ROUND( IF( SUM(C7:D7) = 0, 0, AVERAGE(C7:D7) * E8 ),0)</f>
        <v>167884</v>
      </c>
      <c r="F9" s="123">
        <f>ROUND( IF( SUM(D7:E7) = 0, 0, AVERAGE(D7:E7) * F8 ),0)</f>
        <v>170472</v>
      </c>
      <c r="G9" s="25"/>
      <c r="H9" s="157"/>
      <c r="I9" s="156"/>
      <c r="J9" s="156"/>
      <c r="K9" s="156"/>
      <c r="L9" s="156"/>
      <c r="M9" s="158"/>
      <c r="N9" s="25"/>
    </row>
    <row r="10" spans="1:14" x14ac:dyDescent="0.3">
      <c r="D10" s="168"/>
      <c r="E10" s="168"/>
      <c r="F10" s="168"/>
      <c r="G10" s="26"/>
      <c r="H10" s="157"/>
      <c r="I10" s="156"/>
      <c r="J10" s="156"/>
      <c r="K10" s="156"/>
      <c r="L10" s="156"/>
      <c r="M10" s="158"/>
      <c r="N10" s="26"/>
    </row>
    <row r="11" spans="1:14" ht="18" x14ac:dyDescent="0.35">
      <c r="A11" s="9" t="s">
        <v>96</v>
      </c>
      <c r="B11" s="2">
        <f>C11 - 1</f>
        <v>2011</v>
      </c>
      <c r="C11" s="2">
        <f>'Facility Detail'!$B$465</f>
        <v>2012</v>
      </c>
      <c r="D11" s="2">
        <f>C11+1</f>
        <v>2013</v>
      </c>
      <c r="E11" s="2">
        <f>D11+1</f>
        <v>2014</v>
      </c>
      <c r="F11" s="2">
        <f>E11+1</f>
        <v>2015</v>
      </c>
      <c r="G11" s="26"/>
      <c r="H11" s="157"/>
      <c r="I11" s="156"/>
      <c r="J11" s="156"/>
      <c r="K11" s="156"/>
      <c r="L11" s="156"/>
      <c r="M11" s="158"/>
      <c r="N11" s="26"/>
    </row>
    <row r="12" spans="1:14" x14ac:dyDescent="0.3">
      <c r="A12" s="106" t="s">
        <v>49</v>
      </c>
      <c r="B12" s="80"/>
      <c r="C12" s="13">
        <f xml:space="preserve"> 'Facility Detail'!D42 + 'Facility Detail'!D77 + 'Facility Detail'!D112 + 'Facility Detail'!D147 + 'Facility Detail'!D182 + 'Facility Detail'!D217 + 'Facility Detail'!D252 + 'Facility Detail'!D287 + 'Facility Detail'!D322 + 'Facility Detail'!D357 + 'Facility Detail'!D392 + 'Facility Detail'!D425</f>
        <v>252655</v>
      </c>
      <c r="D12" s="13">
        <f xml:space="preserve"> 'Facility Detail'!E42 + 'Facility Detail'!E77 + 'Facility Detail'!E112 + 'Facility Detail'!E147 + 'Facility Detail'!E182 + 'Facility Detail'!E217 + 'Facility Detail'!E252 + 'Facility Detail'!E287 + 'Facility Detail'!E322 + 'Facility Detail'!E357 + 'Facility Detail'!E392 + 'Facility Detail'!E425</f>
        <v>489043.19840384426</v>
      </c>
      <c r="E12" s="13">
        <f xml:space="preserve"> 'Facility Detail'!F42 + 'Facility Detail'!F77 + 'Facility Detail'!F112 + 'Facility Detail'!F147 + 'Facility Detail'!F182 + 'Facility Detail'!F217 + 'Facility Detail'!F252 + 'Facility Detail'!F287 + 'Facility Detail'!F322 + 'Facility Detail'!F357 + 'Facility Detail'!F392 + 'Facility Detail'!F425</f>
        <v>505380.19840384426</v>
      </c>
      <c r="F12" s="13">
        <f xml:space="preserve"> 'Facility Detail'!G42 + 'Facility Detail'!G77 + 'Facility Detail'!G112 + 'Facility Detail'!G147 + 'Facility Detail'!G182 + 'Facility Detail'!G217 + 'Facility Detail'!G252 + 'Facility Detail'!G287 + 'Facility Detail'!G322 + 'Facility Detail'!G357 + 'Facility Detail'!G392 + 'Facility Detail'!G425</f>
        <v>569815.19840384426</v>
      </c>
      <c r="G12" s="27"/>
      <c r="H12" s="159"/>
      <c r="I12" s="156"/>
      <c r="J12" s="156"/>
      <c r="K12" s="156"/>
      <c r="L12" s="156"/>
      <c r="M12" s="158"/>
      <c r="N12" s="27"/>
    </row>
    <row r="13" spans="1:14" x14ac:dyDescent="0.3">
      <c r="A13" s="106" t="s">
        <v>47</v>
      </c>
      <c r="B13" s="90"/>
      <c r="C13" s="91">
        <f xml:space="preserve"> 'Facility Detail'!D47 + 'Facility Detail'!D82 + 'Facility Detail'!D117 + 'Facility Detail'!D152 + 'Facility Detail'!D187 + 'Facility Detail'!D222 + 'Facility Detail'!D257 + 'Facility Detail'!D292 + 'Facility Detail'!D327 + 'Facility Detail'!D362 + 'Facility Detail'!D397 + 'Facility Detail'!D436</f>
        <v>12290</v>
      </c>
      <c r="D13" s="91">
        <f xml:space="preserve"> 'Facility Detail'!E47 + 'Facility Detail'!E82 + 'Facility Detail'!E117 + 'Facility Detail'!E152 + 'Facility Detail'!E187 + 'Facility Detail'!E222 + 'Facility Detail'!E257 + 'Facility Detail'!E292 + 'Facility Detail'!E327 + 'Facility Detail'!E362 + 'Facility Detail'!E397 + 'Facility Detail'!E436</f>
        <v>59405.4</v>
      </c>
      <c r="E13" s="91">
        <f xml:space="preserve"> 'Facility Detail'!F47 + 'Facility Detail'!F82 + 'Facility Detail'!F117 + 'Facility Detail'!F152 + 'Facility Detail'!F187 + 'Facility Detail'!F222 + 'Facility Detail'!F257 + 'Facility Detail'!F292 + 'Facility Detail'!F327 + 'Facility Detail'!F362 + 'Facility Detail'!F397 + 'Facility Detail'!F436</f>
        <v>67058.2</v>
      </c>
      <c r="F13" s="91">
        <f xml:space="preserve"> 'Facility Detail'!G47 + 'Facility Detail'!G82 + 'Facility Detail'!G117 + 'Facility Detail'!G152 + 'Facility Detail'!G187 + 'Facility Detail'!G222 + 'Facility Detail'!G257 + 'Facility Detail'!G292 + 'Facility Detail'!G327 + 'Facility Detail'!G362 + 'Facility Detail'!G397 + 'Facility Detail'!G436</f>
        <v>69945.2</v>
      </c>
      <c r="G13" s="27"/>
      <c r="H13" s="27"/>
      <c r="I13" s="27"/>
      <c r="J13" s="27"/>
      <c r="K13" s="27"/>
      <c r="L13" s="27"/>
      <c r="M13" s="27"/>
      <c r="N13" s="27"/>
    </row>
    <row r="14" spans="1:14" x14ac:dyDescent="0.3">
      <c r="A14" s="98" t="s">
        <v>40</v>
      </c>
      <c r="B14" s="61"/>
      <c r="C14" s="61">
        <f>SUM(C12:C13)</f>
        <v>264945</v>
      </c>
      <c r="D14" s="61">
        <f>SUM(D12:D13)</f>
        <v>548448.59840384428</v>
      </c>
      <c r="E14" s="61">
        <f t="shared" ref="E14:F14" si="1">SUM(E12:E13)</f>
        <v>572438.39840384421</v>
      </c>
      <c r="F14" s="61">
        <f t="shared" si="1"/>
        <v>639760.39840384421</v>
      </c>
      <c r="G14" s="27"/>
      <c r="H14" s="27"/>
      <c r="I14" s="27"/>
      <c r="J14" s="27"/>
      <c r="K14" s="27"/>
      <c r="L14" s="27"/>
      <c r="M14" s="27"/>
      <c r="N14" s="27"/>
    </row>
    <row r="15" spans="1:14" x14ac:dyDescent="0.3">
      <c r="A15" s="6"/>
      <c r="B15" s="61"/>
      <c r="C15" s="61"/>
      <c r="D15" s="61"/>
      <c r="E15" s="61"/>
      <c r="F15" s="61"/>
      <c r="G15" s="27"/>
      <c r="H15" s="27"/>
      <c r="I15" s="27"/>
      <c r="J15" s="27"/>
      <c r="K15" s="27"/>
      <c r="L15" s="27"/>
      <c r="M15" s="27"/>
      <c r="N15" s="27"/>
    </row>
    <row r="16" spans="1:14" ht="18" x14ac:dyDescent="0.35">
      <c r="A16" s="53" t="s">
        <v>102</v>
      </c>
      <c r="B16" s="2">
        <f>C16 - 1</f>
        <v>2011</v>
      </c>
      <c r="C16" s="2">
        <f>'Facility Detail'!$B$465</f>
        <v>2012</v>
      </c>
      <c r="D16" s="2">
        <f>C16+1</f>
        <v>2013</v>
      </c>
      <c r="E16" s="2">
        <f t="shared" ref="E16" si="2">D16+1</f>
        <v>2014</v>
      </c>
      <c r="F16" s="2">
        <f>E16+1</f>
        <v>2015</v>
      </c>
      <c r="G16" s="27"/>
      <c r="H16" s="27"/>
      <c r="I16" s="27"/>
      <c r="J16" s="27"/>
      <c r="K16" s="27"/>
      <c r="L16" s="27"/>
      <c r="M16" s="27"/>
      <c r="N16" s="27"/>
    </row>
    <row r="17" spans="1:14" x14ac:dyDescent="0.3">
      <c r="A17" s="106" t="s">
        <v>50</v>
      </c>
      <c r="B17" s="81"/>
      <c r="C17" s="86">
        <f>( 'Facility Detail'!D50 + 'Facility Detail'!D85 + 'Facility Detail'!D120 + 'Facility Detail'!D155 + 'Facility Detail'!D190 + 'Facility Detail'!D225 + 'Facility Detail'!D260 + 'Facility Detail'!D295 + 'Facility Detail'!D330 + 'Facility Detail'!D365 + 'Facility Detail'!D400)</f>
        <v>-61450</v>
      </c>
      <c r="D17" s="86">
        <f>('Facility Detail'!E50+'Facility Detail'!E85+'Facility Detail'!E120+'Facility Detail'!E155+'Facility Detail'!E190+'Facility Detail'!E225+'Facility Detail'!E260+'Facility Detail'!E295+'Facility Detail'!E330+'Facility Detail'!E365+'Facility Detail'!E400)</f>
        <v>-297027</v>
      </c>
      <c r="E17" s="86">
        <f>('Facility Detail'!F50+'Facility Detail'!F85+'Facility Detail'!F120+'Facility Detail'!F155+'Facility Detail'!F190+'Facility Detail'!F225+'Facility Detail'!F260+'Facility Detail'!F295+'Facility Detail'!F330+'Facility Detail'!F365+'Facility Detail'!F400)</f>
        <v>-313679</v>
      </c>
      <c r="F17" s="86">
        <f>('Facility Detail'!G50+'Facility Detail'!G85+'Facility Detail'!G120+'Facility Detail'!G155+'Facility Detail'!G190+'Facility Detail'!G225+'Facility Detail'!G260+'Facility Detail'!G295+'Facility Detail'!G330+'Facility Detail'!G365+'Facility Detail'!G400)</f>
        <v>0</v>
      </c>
      <c r="G17" s="17"/>
      <c r="H17" s="17"/>
      <c r="I17" s="17"/>
      <c r="J17" s="17"/>
      <c r="K17" s="17"/>
      <c r="L17" s="17"/>
      <c r="M17" s="17"/>
      <c r="N17" s="17"/>
    </row>
    <row r="18" spans="1:14" x14ac:dyDescent="0.3">
      <c r="A18" s="107" t="s">
        <v>38</v>
      </c>
      <c r="B18" s="118"/>
      <c r="C18" s="119">
        <f xml:space="preserve"> -1 * ( 'Facility Detail'!D51 + 'Facility Detail'!D86 + 'Facility Detail'!D121 + 'Facility Detail'!D156 + 'Facility Detail'!D191 + 'Facility Detail'!D226 + 'Facility Detail'!D261 + 'Facility Detail'!D296 + 'Facility Detail'!D331 + 'Facility Detail'!D366 + 'Facility Detail'!D401)</f>
        <v>0</v>
      </c>
      <c r="D18" s="119">
        <f xml:space="preserve"> -1 * ( 'Facility Detail'!E51 + 'Facility Detail'!E86 + 'Facility Detail'!E121 + 'Facility Detail'!E156 + 'Facility Detail'!E191 + 'Facility Detail'!E226 + 'Facility Detail'!E261 + 'Facility Detail'!E296 + 'Facility Detail'!E331 + 'Facility Detail'!E366 + 'Facility Detail'!E401)</f>
        <v>0</v>
      </c>
      <c r="E18" s="119">
        <f xml:space="preserve"> -1 * ( 'Facility Detail'!F51 + 'Facility Detail'!F86 + 'Facility Detail'!F121 + 'Facility Detail'!F156 + 'Facility Detail'!F191 + 'Facility Detail'!F226 + 'Facility Detail'!F261 + 'Facility Detail'!F296 + 'Facility Detail'!F331 + 'Facility Detail'!F366 + 'Facility Detail'!F401)</f>
        <v>0</v>
      </c>
      <c r="F18" s="119">
        <f xml:space="preserve"> -1 * ( 'Facility Detail'!G51 + 'Facility Detail'!G86 + 'Facility Detail'!G121 + 'Facility Detail'!G156 + 'Facility Detail'!G191 + 'Facility Detail'!G226 + 'Facility Detail'!G261 + 'Facility Detail'!G296 + 'Facility Detail'!G331 + 'Facility Detail'!G366 + 'Facility Detail'!G401)</f>
        <v>0</v>
      </c>
      <c r="G18" s="17"/>
      <c r="H18" s="17"/>
      <c r="I18" s="17"/>
      <c r="J18" s="17"/>
      <c r="K18" s="17"/>
      <c r="L18" s="17"/>
      <c r="M18" s="17"/>
      <c r="N18" s="17"/>
    </row>
    <row r="19" spans="1:14" x14ac:dyDescent="0.3">
      <c r="A19" s="117" t="s">
        <v>103</v>
      </c>
      <c r="B19" s="82"/>
      <c r="C19" s="87">
        <f>( 'Facility Detail'!D52 + 'Facility Detail'!D87 + 'Facility Detail'!D122 + 'Facility Detail'!D157 + 'Facility Detail'!D192 + 'Facility Detail'!D227 + 'Facility Detail'!D262 + 'Facility Detail'!D297 + 'Facility Detail'!D332 + 'Facility Detail'!D367 + 'Facility Detail'!D402)</f>
        <v>-12290</v>
      </c>
      <c r="D19" s="87">
        <f>( 'Facility Detail'!E52 + 'Facility Detail'!E87 + 'Facility Detail'!E122 + 'Facility Detail'!E157 + 'Facility Detail'!E192 + 'Facility Detail'!E227 + 'Facility Detail'!E262 + 'Facility Detail'!E297 + 'Facility Detail'!E332 + 'Facility Detail'!E367 + 'Facility Detail'!E402)</f>
        <v>-59405</v>
      </c>
      <c r="E19" s="87">
        <f>( 'Facility Detail'!F52 + 'Facility Detail'!F87 + 'Facility Detail'!F122 + 'Facility Detail'!F157 + 'Facility Detail'!F192 + 'Facility Detail'!F227 + 'Facility Detail'!F262 + 'Facility Detail'!F297 + 'Facility Detail'!F332 + 'Facility Detail'!F367 + 'Facility Detail'!F402)</f>
        <v>-62736</v>
      </c>
      <c r="F19" s="87">
        <f>( 'Facility Detail'!G52 + 'Facility Detail'!G87 + 'Facility Detail'!G122 + 'Facility Detail'!G157 + 'Facility Detail'!G192 + 'Facility Detail'!G227 + 'Facility Detail'!G262 + 'Facility Detail'!G297 + 'Facility Detail'!G332 + 'Facility Detail'!G367 + 'Facility Detail'!G402)</f>
        <v>0</v>
      </c>
      <c r="G19" s="17"/>
      <c r="H19" s="17"/>
      <c r="I19" s="17"/>
      <c r="J19" s="17"/>
      <c r="K19" s="17"/>
      <c r="L19" s="17"/>
      <c r="M19" s="17"/>
      <c r="N19" s="17"/>
    </row>
    <row r="20" spans="1:14" x14ac:dyDescent="0.3">
      <c r="A20" s="98" t="str">
        <f>'Facility Detail'!B53</f>
        <v>Total Sold / Transferred / Unrealized</v>
      </c>
      <c r="B20" s="22"/>
      <c r="C20" s="22">
        <f>SUM(C17:C19)</f>
        <v>-73740</v>
      </c>
      <c r="D20" s="22">
        <f>SUM(D17:D19)</f>
        <v>-356432</v>
      </c>
      <c r="E20" s="22">
        <f t="shared" ref="E20:F20" si="3">SUM(E17:E19)</f>
        <v>-376415</v>
      </c>
      <c r="F20" s="22">
        <f t="shared" si="3"/>
        <v>0</v>
      </c>
      <c r="G20" s="22"/>
      <c r="H20" s="22"/>
      <c r="I20" s="22"/>
      <c r="J20" s="22"/>
      <c r="K20" s="22"/>
      <c r="L20" s="22"/>
      <c r="M20" s="22"/>
      <c r="N20" s="22"/>
    </row>
    <row r="21" spans="1:14" x14ac:dyDescent="0.3">
      <c r="B21" s="17"/>
      <c r="C21" s="17"/>
      <c r="D21" s="17"/>
      <c r="E21" s="17"/>
      <c r="F21" s="17"/>
      <c r="G21" s="17"/>
      <c r="H21" s="17"/>
      <c r="I21" s="17"/>
      <c r="J21" s="17"/>
      <c r="K21" s="17"/>
      <c r="L21" s="17"/>
      <c r="M21" s="17"/>
      <c r="N21" s="17"/>
    </row>
    <row r="22" spans="1:14" ht="18" x14ac:dyDescent="0.35">
      <c r="A22" s="9" t="s">
        <v>54</v>
      </c>
      <c r="B22" s="2">
        <f>C22 - 1</f>
        <v>2011</v>
      </c>
      <c r="C22" s="2">
        <f>'Facility Detail'!$B$465</f>
        <v>2012</v>
      </c>
      <c r="D22" s="2">
        <f>C22+1</f>
        <v>2013</v>
      </c>
      <c r="E22" s="2">
        <f t="shared" ref="E22" si="4">D22+1</f>
        <v>2014</v>
      </c>
      <c r="F22" s="2">
        <f>E22+1</f>
        <v>2015</v>
      </c>
      <c r="G22" s="17"/>
      <c r="H22" s="17"/>
      <c r="I22" s="17"/>
      <c r="J22" s="17"/>
      <c r="K22" s="17"/>
      <c r="L22" s="17"/>
      <c r="M22" s="17"/>
      <c r="N22" s="17"/>
    </row>
    <row r="23" spans="1:14" x14ac:dyDescent="0.3">
      <c r="A23" s="131" t="str">
        <f xml:space="preserve"> 'Facility Detail'!$B$465 &amp; " Surplus Applied to " &amp; ( 'Facility Detail'!$B$465 + 1 )</f>
        <v>2012 Surplus Applied to 2013</v>
      </c>
      <c r="B23" s="92"/>
      <c r="C23" s="75">
        <f xml:space="preserve"> -1 * ( 'Facility Detail'!D56 + 'Facility Detail'!D91 + 'Facility Detail'!D126 + 'Facility Detail'!D161 + 'Facility Detail'!D196 + 'Facility Detail'!D231 + 'Facility Detail'!D266 + 'Facility Detail'!D301 + 'Facility Detail'!D336 + 'Facility Detail'!D371 + 'Facility Detail'!D406)</f>
        <v>0</v>
      </c>
      <c r="D23" s="75">
        <f xml:space="preserve"> 'Facility Detail'!E56 + 'Facility Detail'!E91 + 'Facility Detail'!E126 + 'Facility Detail'!E161 + 'Facility Detail'!E196 + 'Facility Detail'!E231 + 'Facility Detail'!E266 + 'Facility Detail'!E301 + 'Facility Detail'!E336 + 'Facility Detail'!E371 + 'Facility Detail'!E406</f>
        <v>0</v>
      </c>
      <c r="E23" s="75">
        <f xml:space="preserve"> 'Facility Detail'!F56 + 'Facility Detail'!F91 + 'Facility Detail'!F126 + 'Facility Detail'!F161 + 'Facility Detail'!F196 + 'Facility Detail'!F231 + 'Facility Detail'!F266 + 'Facility Detail'!F301 + 'Facility Detail'!F336 + 'Facility Detail'!F371 + 'Facility Detail'!F406</f>
        <v>0</v>
      </c>
      <c r="F23" s="75">
        <f xml:space="preserve"> 'Facility Detail'!G56 + 'Facility Detail'!G91 + 'Facility Detail'!G126 + 'Facility Detail'!G161 + 'Facility Detail'!G196 + 'Facility Detail'!G231 + 'Facility Detail'!G266 + 'Facility Detail'!G301 + 'Facility Detail'!G336 + 'Facility Detail'!G371 + 'Facility Detail'!G406</f>
        <v>0</v>
      </c>
      <c r="G23" s="17"/>
      <c r="H23" s="17"/>
      <c r="I23" s="17"/>
      <c r="J23" s="17"/>
      <c r="K23" s="17"/>
      <c r="L23" s="17"/>
      <c r="M23" s="17"/>
      <c r="N23" s="17"/>
    </row>
    <row r="24" spans="1:14" x14ac:dyDescent="0.3">
      <c r="A24" s="131" t="str">
        <f xml:space="preserve"> ( 'Facility Detail'!$B$465 + 1 ) &amp; " Surplus Applied to " &amp; ( 'Facility Detail'!$B$465 )</f>
        <v>2013 Surplus Applied to 2012</v>
      </c>
      <c r="B24" s="93"/>
      <c r="C24" s="88">
        <f xml:space="preserve"> 'Facility Detail'!D57 + 'Facility Detail'!D92 + 'Facility Detail'!D127 + 'Facility Detail'!D162 + 'Facility Detail'!D197 + 'Facility Detail'!D232 + 'Facility Detail'!D267 + 'Facility Detail'!D302 + 'Facility Detail'!D337 + 'Facility Detail'!D372 + 'Facility Detail'!D407</f>
        <v>0</v>
      </c>
      <c r="D24" s="88">
        <f xml:space="preserve"> -1 * ( 'Facility Detail'!E57 + 'Facility Detail'!E92 + 'Facility Detail'!E127 + 'Facility Detail'!E162 + 'Facility Detail'!E197 + 'Facility Detail'!E232 + 'Facility Detail'!E267 + 'Facility Detail'!E302 + 'Facility Detail'!E337 + 'Facility Detail'!E372 + 'Facility Detail'!E407)</f>
        <v>0</v>
      </c>
      <c r="E24" s="88">
        <f xml:space="preserve"> -1 * ( 'Facility Detail'!F57 + 'Facility Detail'!F92 + 'Facility Detail'!F127 + 'Facility Detail'!F162 + 'Facility Detail'!F197 + 'Facility Detail'!F232 + 'Facility Detail'!F267 + 'Facility Detail'!F302 + 'Facility Detail'!F337 + 'Facility Detail'!F372 + 'Facility Detail'!F407)</f>
        <v>0</v>
      </c>
      <c r="F24" s="88">
        <f xml:space="preserve"> -1 * ( 'Facility Detail'!G57 + 'Facility Detail'!G92 + 'Facility Detail'!G127 + 'Facility Detail'!G162 + 'Facility Detail'!G197 + 'Facility Detail'!G232 + 'Facility Detail'!G267 + 'Facility Detail'!G302 + 'Facility Detail'!G337 + 'Facility Detail'!G372 + 'Facility Detail'!G407)</f>
        <v>0</v>
      </c>
      <c r="G24" s="17"/>
      <c r="H24" s="17"/>
      <c r="I24" s="17"/>
      <c r="J24" s="17"/>
      <c r="K24" s="17"/>
      <c r="L24" s="17"/>
      <c r="M24" s="17"/>
      <c r="N24" s="17"/>
    </row>
    <row r="25" spans="1:14" x14ac:dyDescent="0.3">
      <c r="A25" s="131" t="str">
        <f xml:space="preserve"> ( 'Facility Detail'!$B$465 + 1 ) &amp; " Surplus Applied to " &amp; ( 'Facility Detail'!$B$465 + 2 )</f>
        <v>2013 Surplus Applied to 2014</v>
      </c>
      <c r="B25" s="93"/>
      <c r="C25" s="96"/>
      <c r="D25" s="88">
        <f xml:space="preserve"> -1 * ( 'Facility Detail'!E58 + 'Facility Detail'!E93 + 'Facility Detail'!E128 + 'Facility Detail'!E163 + 'Facility Detail'!E198 + 'Facility Detail'!E233 + 'Facility Detail'!E268 + 'Facility Detail'!E303 + 'Facility Detail'!E338 + 'Facility Detail'!E373 + 'Facility Detail'!E408)</f>
        <v>0</v>
      </c>
      <c r="E25" s="88">
        <f xml:space="preserve"> -1 * ( 'Facility Detail'!F58 + 'Facility Detail'!F93 + 'Facility Detail'!F128 + 'Facility Detail'!F163 + 'Facility Detail'!F198 + 'Facility Detail'!F233 + 'Facility Detail'!F268 + 'Facility Detail'!F303 + 'Facility Detail'!F338 + 'Facility Detail'!F373 + 'Facility Detail'!F408)</f>
        <v>0</v>
      </c>
      <c r="F25" s="88">
        <f xml:space="preserve"> -1 * ( 'Facility Detail'!G58 + 'Facility Detail'!G93 + 'Facility Detail'!G128 + 'Facility Detail'!G163 + 'Facility Detail'!G198 + 'Facility Detail'!G233 + 'Facility Detail'!G268 + 'Facility Detail'!G303 + 'Facility Detail'!G338 + 'Facility Detail'!G373 + 'Facility Detail'!G408)</f>
        <v>0</v>
      </c>
      <c r="G25" s="17"/>
      <c r="H25" s="17"/>
      <c r="I25" s="17"/>
      <c r="J25" s="17"/>
      <c r="K25" s="17"/>
      <c r="L25" s="17"/>
      <c r="M25" s="17"/>
      <c r="N25" s="17"/>
    </row>
    <row r="26" spans="1:14" x14ac:dyDescent="0.3">
      <c r="A26" s="131" t="str">
        <f xml:space="preserve"> ( 'Facility Detail'!$B$465 + 2 ) &amp; " Surplus Applied to " &amp; ( 'Facility Detail'!$B$465 + 3 )</f>
        <v>2014 Surplus Applied to 2015</v>
      </c>
      <c r="B26" s="162"/>
      <c r="C26" s="163"/>
      <c r="D26" s="88">
        <f xml:space="preserve"> -1 * ( 'Facility Detail'!E59 + 'Facility Detail'!E94 + 'Facility Detail'!E129 + 'Facility Detail'!E164 + 'Facility Detail'!E199 + 'Facility Detail'!E234 + 'Facility Detail'!E269 + 'Facility Detail'!E304 + 'Facility Detail'!E339 + 'Facility Detail'!E374 + 'Facility Detail'!E409)</f>
        <v>0</v>
      </c>
      <c r="E26" s="88">
        <f xml:space="preserve"> -1 * ( 'Facility Detail'!F59 + 'Facility Detail'!F94 + 'Facility Detail'!F129 + 'Facility Detail'!F164 + 'Facility Detail'!F199 + 'Facility Detail'!F234 + 'Facility Detail'!F269 + 'Facility Detail'!F304 + 'Facility Detail'!F339 + 'Facility Detail'!F374 + 'Facility Detail'!F409)</f>
        <v>0</v>
      </c>
      <c r="F26" s="88">
        <f xml:space="preserve"> -1 * ( 'Facility Detail'!G59 + 'Facility Detail'!G94 + 'Facility Detail'!G129 + 'Facility Detail'!G164 + 'Facility Detail'!G199 + 'Facility Detail'!G234 + 'Facility Detail'!G269 + 'Facility Detail'!G304 + 'Facility Detail'!G339 + 'Facility Detail'!G374 + 'Facility Detail'!G409)</f>
        <v>0</v>
      </c>
      <c r="G26" s="17"/>
      <c r="H26" s="17"/>
      <c r="I26" s="17"/>
      <c r="J26" s="17"/>
      <c r="K26" s="17"/>
      <c r="L26" s="17"/>
      <c r="M26" s="17"/>
      <c r="N26" s="17"/>
    </row>
    <row r="27" spans="1:14" x14ac:dyDescent="0.3">
      <c r="A27" s="131" t="str">
        <f xml:space="preserve"> ( 'Facility Detail'!$B$465 + 3 ) &amp; " Surplus Applied to " &amp; ( 'Facility Detail'!$B$465 + 4 )</f>
        <v>2015 Surplus Applied to 2016</v>
      </c>
      <c r="B27" s="94"/>
      <c r="C27" s="97"/>
      <c r="D27" s="88">
        <f xml:space="preserve"> -1 * ( 'Facility Detail'!E62 + 'Facility Detail'!E97 + 'Facility Detail'!E132 + 'Facility Detail'!E167 + 'Facility Detail'!E202 + 'Facility Detail'!E237 + 'Facility Detail'!E272 + 'Facility Detail'!E307 + 'Facility Detail'!E342 + 'Facility Detail'!E377 + 'Facility Detail'!E412)</f>
        <v>0</v>
      </c>
      <c r="E27" s="88">
        <f xml:space="preserve"> -1 * ( 'Facility Detail'!F62 + 'Facility Detail'!F97 + 'Facility Detail'!F132 + 'Facility Detail'!F167 + 'Facility Detail'!F202 + 'Facility Detail'!F237 + 'Facility Detail'!F272 + 'Facility Detail'!F307 + 'Facility Detail'!F342 + 'Facility Detail'!F377 + 'Facility Detail'!F412)</f>
        <v>0</v>
      </c>
      <c r="F27" s="88">
        <f xml:space="preserve"> -1 * ( 'Facility Detail'!G62 + 'Facility Detail'!G97 + 'Facility Detail'!G132 + 'Facility Detail'!G167 + 'Facility Detail'!G202 + 'Facility Detail'!G237 + 'Facility Detail'!G272 + 'Facility Detail'!G307 + 'Facility Detail'!G342 + 'Facility Detail'!G377 + 'Facility Detail'!G412)</f>
        <v>0</v>
      </c>
      <c r="G27" s="17"/>
      <c r="H27" s="17"/>
      <c r="I27" s="17"/>
      <c r="J27" s="17"/>
      <c r="K27" s="17"/>
      <c r="L27" s="17"/>
      <c r="M27" s="17"/>
      <c r="N27" s="17"/>
    </row>
    <row r="28" spans="1:14" x14ac:dyDescent="0.3">
      <c r="A28" s="98" t="s">
        <v>34</v>
      </c>
      <c r="B28" s="61"/>
      <c r="C28" s="61">
        <f>SUM(C23:C27)</f>
        <v>0</v>
      </c>
      <c r="D28" s="61">
        <f>SUM(D23:D27)</f>
        <v>0</v>
      </c>
      <c r="E28" s="61">
        <f t="shared" ref="E28:F28" si="5">SUM(E23:E27)</f>
        <v>0</v>
      </c>
      <c r="F28" s="61">
        <f t="shared" si="5"/>
        <v>0</v>
      </c>
      <c r="G28" s="17"/>
      <c r="H28" s="17"/>
      <c r="I28" s="17"/>
      <c r="J28" s="17"/>
      <c r="K28" s="17"/>
      <c r="L28" s="17"/>
      <c r="M28" s="17"/>
      <c r="N28" s="17"/>
    </row>
    <row r="29" spans="1:14" x14ac:dyDescent="0.3">
      <c r="B29" s="61"/>
      <c r="C29" s="61"/>
      <c r="D29" s="61"/>
      <c r="E29" s="61"/>
      <c r="F29" s="61"/>
      <c r="G29" s="17"/>
      <c r="H29" s="17"/>
      <c r="I29" s="17"/>
      <c r="J29" s="17"/>
      <c r="K29" s="17"/>
      <c r="L29" s="17"/>
      <c r="M29" s="17"/>
      <c r="N29" s="17"/>
    </row>
    <row r="30" spans="1:14" x14ac:dyDescent="0.3">
      <c r="A30" s="132" t="s">
        <v>30</v>
      </c>
      <c r="B30" s="128"/>
      <c r="C30" s="129">
        <f xml:space="preserve"> 'Facility Detail'!D64 + 'Facility Detail'!D99 + 'Facility Detail'!D134 + 'Facility Detail'!D169 + 'Facility Detail'!D204 + 'Facility Detail'!D239 + 'Facility Detail'!D274 + 'Facility Detail'!D309 + 'Facility Detail'!D344 + 'Facility Detail'!D379 + 'Facility Detail'!D414</f>
        <v>0</v>
      </c>
      <c r="D30" s="129">
        <f xml:space="preserve"> 'Facility Detail'!E64 + 'Facility Detail'!E99 + 'Facility Detail'!E134 + 'Facility Detail'!E169 + 'Facility Detail'!E204 + 'Facility Detail'!E239 + 'Facility Detail'!E274 + 'Facility Detail'!E309 + 'Facility Detail'!E344 + 'Facility Detail'!E379 + 'Facility Detail'!E414</f>
        <v>0</v>
      </c>
      <c r="E30" s="161"/>
      <c r="F30" s="130">
        <f xml:space="preserve"> 'Facility Detail'!F64 + 'Facility Detail'!F99 + 'Facility Detail'!F134 + 'Facility Detail'!F169 + 'Facility Detail'!F204 + 'Facility Detail'!F239 + 'Facility Detail'!F274 + 'Facility Detail'!F309 + 'Facility Detail'!F344 + 'Facility Detail'!F379 + 'Facility Detail'!F414</f>
        <v>0</v>
      </c>
      <c r="G30" s="17"/>
      <c r="H30" s="17"/>
      <c r="I30" s="17"/>
      <c r="J30" s="17"/>
      <c r="K30" s="17"/>
      <c r="L30" s="17"/>
      <c r="M30" s="17"/>
      <c r="N30" s="17"/>
    </row>
    <row r="31" spans="1:14" x14ac:dyDescent="0.3">
      <c r="B31" s="61"/>
      <c r="C31" s="61"/>
      <c r="D31" s="61"/>
      <c r="E31" s="61"/>
      <c r="F31" s="61"/>
      <c r="G31" s="17"/>
      <c r="H31" s="17"/>
      <c r="I31" s="17"/>
      <c r="J31" s="17"/>
      <c r="K31" s="17"/>
      <c r="L31" s="17"/>
      <c r="M31" s="17"/>
      <c r="N31" s="17"/>
    </row>
    <row r="32" spans="1:14" x14ac:dyDescent="0.3">
      <c r="B32" s="2">
        <f>C32 - 1</f>
        <v>2011</v>
      </c>
      <c r="C32" s="2">
        <f>'Facility Detail'!$B$465</f>
        <v>2012</v>
      </c>
      <c r="D32" s="2" t="str">
        <f>C32+1 &amp; "*"</f>
        <v>2013*</v>
      </c>
      <c r="E32" s="2" t="str">
        <f>C32+2 &amp;"*"</f>
        <v>2014*</v>
      </c>
      <c r="F32" s="2" t="str">
        <f>C32+3 &amp; "*"</f>
        <v>2015*</v>
      </c>
      <c r="G32" s="17"/>
      <c r="H32" s="17"/>
      <c r="I32" s="17"/>
      <c r="J32" s="17"/>
      <c r="K32" s="17"/>
      <c r="L32" s="17"/>
      <c r="M32" s="17"/>
      <c r="N32" s="17"/>
    </row>
    <row r="33" spans="1:14" ht="32.25" customHeight="1" x14ac:dyDescent="0.3">
      <c r="A33" s="84" t="s">
        <v>43</v>
      </c>
      <c r="B33" s="83"/>
      <c r="C33" s="85">
        <f>C14 + C20 - C9 + C28 + C30</f>
        <v>25158</v>
      </c>
      <c r="D33" s="85">
        <f>D14 + D20 - D9 + D28 + D30</f>
        <v>25276.598403844284</v>
      </c>
      <c r="E33" s="85">
        <f t="shared" ref="E33" si="6">E14 + E20 - E9 + E28 + E30</f>
        <v>28139.398403844214</v>
      </c>
      <c r="F33" s="85">
        <f>F14 + F20 - F9 + F28 + F30</f>
        <v>469288.39840384421</v>
      </c>
      <c r="G33" s="23"/>
      <c r="H33" s="23"/>
      <c r="I33" s="23"/>
      <c r="J33" s="23"/>
      <c r="K33" s="23"/>
      <c r="L33" s="23"/>
      <c r="M33" s="23"/>
      <c r="N33" s="23"/>
    </row>
    <row r="34" spans="1:14" x14ac:dyDescent="0.3">
      <c r="D34" s="155"/>
      <c r="E34" s="155"/>
    </row>
    <row r="35" spans="1:14" ht="31.5" customHeight="1" x14ac:dyDescent="0.3">
      <c r="A35" s="174" t="str">
        <f>"* Any surplus shown in " &amp; YEAR( B4 ) &amp; " or " &amp; YEAR( B4 ) + 1 &amp; " may be sold or used for compliance in subsequent years.  Compliance deficits shown" &amp; " in " &amp;  YEAR( B4 ) + 1 &amp; "  may be filled by REC procurement from subsequent years."</f>
        <v>* Any surplus shown in 2015 or 2016 may be sold or used for compliance in subsequent years.  Compliance deficits shown in 2016  may be filled by REC procurement from subsequent years.</v>
      </c>
      <c r="B35" s="174"/>
      <c r="C35" s="174"/>
      <c r="D35" s="174"/>
      <c r="E35" s="174"/>
      <c r="F35" s="174"/>
    </row>
    <row r="36" spans="1:14" ht="96.75" customHeight="1" x14ac:dyDescent="0.3">
      <c r="A36" s="175" t="s">
        <v>107</v>
      </c>
      <c r="B36" s="175"/>
      <c r="C36" s="175"/>
      <c r="D36" s="175"/>
      <c r="E36" s="175"/>
      <c r="F36" s="175"/>
    </row>
    <row r="37" spans="1:14" ht="46.5" customHeight="1" x14ac:dyDescent="0.3">
      <c r="A37" s="176" t="s">
        <v>104</v>
      </c>
      <c r="B37" s="176"/>
      <c r="C37" s="176"/>
      <c r="D37" s="176"/>
      <c r="E37" s="176"/>
      <c r="F37" s="176"/>
    </row>
    <row r="38" spans="1:14" ht="30.75" customHeight="1" x14ac:dyDescent="0.3">
      <c r="A38" s="160"/>
      <c r="B38" s="160"/>
      <c r="C38" s="160"/>
      <c r="D38" s="160"/>
      <c r="E38" s="160"/>
      <c r="F38" s="160"/>
    </row>
    <row r="39" spans="1:14" x14ac:dyDescent="0.3">
      <c r="A39" s="160"/>
      <c r="B39" s="160"/>
      <c r="C39" s="160"/>
      <c r="D39" s="160"/>
      <c r="E39" s="160"/>
      <c r="F39" s="160"/>
    </row>
  </sheetData>
  <mergeCells count="5">
    <mergeCell ref="B2:F2"/>
    <mergeCell ref="B4:C4"/>
    <mergeCell ref="A35:F35"/>
    <mergeCell ref="A36:F36"/>
    <mergeCell ref="A37:F37"/>
  </mergeCells>
  <phoneticPr fontId="5" type="noConversion"/>
  <conditionalFormatting sqref="B33:N33">
    <cfRule type="cellIs" dxfId="0" priority="1" stopIfTrue="1" operator="lessThan">
      <formula>0</formula>
    </cfRule>
  </conditionalFormatting>
  <pageMargins left="0.75" right="0.75" top="1" bottom="1" header="0.5" footer="0.5"/>
  <pageSetup scale="73" orientation="portrait" r:id="rId1"/>
  <headerFooter alignWithMargins="0"/>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477"/>
  <sheetViews>
    <sheetView showGridLines="0" tabSelected="1" topLeftCell="A409" zoomScaleNormal="100" workbookViewId="0">
      <selection activeCell="A37" sqref="A37:F37"/>
    </sheetView>
  </sheetViews>
  <sheetFormatPr defaultColWidth="9.109375" defaultRowHeight="14.4" outlineLevelRow="1" x14ac:dyDescent="0.3"/>
  <cols>
    <col min="1" max="1" width="5.33203125" style="1" customWidth="1"/>
    <col min="2" max="2" width="37.44140625" style="1" customWidth="1"/>
    <col min="3" max="3" width="11.88671875" style="1" bestFit="1" customWidth="1"/>
    <col min="4" max="4" width="25.44140625" style="1" customWidth="1"/>
    <col min="5" max="5" width="18.44140625" style="1" customWidth="1"/>
    <col min="6" max="8" width="16.88671875" style="1" customWidth="1"/>
    <col min="9" max="10" width="17.88671875" style="1" customWidth="1"/>
    <col min="11" max="11" width="16.44140625" style="1" customWidth="1"/>
    <col min="12" max="12" width="13.6640625" style="1" customWidth="1"/>
    <col min="13" max="23" width="12.109375" style="1" customWidth="1"/>
    <col min="24" max="16384" width="9.109375" style="1"/>
  </cols>
  <sheetData>
    <row r="1" spans="2:13" ht="46.8" x14ac:dyDescent="0.3">
      <c r="B1" s="43" t="s">
        <v>4</v>
      </c>
      <c r="C1" s="43" t="s">
        <v>31</v>
      </c>
      <c r="D1" s="43" t="s">
        <v>78</v>
      </c>
      <c r="E1" s="43" t="s">
        <v>32</v>
      </c>
      <c r="F1" s="43" t="s">
        <v>33</v>
      </c>
      <c r="G1" s="43" t="s">
        <v>93</v>
      </c>
      <c r="H1" s="43" t="s">
        <v>94</v>
      </c>
      <c r="K1" s="29"/>
      <c r="M1" s="40"/>
    </row>
    <row r="2" spans="2:13" x14ac:dyDescent="0.3">
      <c r="B2" s="30" t="s">
        <v>57</v>
      </c>
      <c r="C2" s="45" t="s">
        <v>68</v>
      </c>
      <c r="D2" s="33" t="s">
        <v>82</v>
      </c>
      <c r="E2" s="33" t="s">
        <v>1</v>
      </c>
      <c r="F2" s="33" t="s">
        <v>1</v>
      </c>
      <c r="G2" s="153">
        <v>36462</v>
      </c>
      <c r="H2" s="37" t="s">
        <v>95</v>
      </c>
      <c r="M2" s="28"/>
    </row>
    <row r="3" spans="2:13" x14ac:dyDescent="0.3">
      <c r="B3" s="31" t="s">
        <v>58</v>
      </c>
      <c r="C3" s="46" t="s">
        <v>69</v>
      </c>
      <c r="D3" s="34" t="s">
        <v>82</v>
      </c>
      <c r="E3" s="34" t="s">
        <v>1</v>
      </c>
      <c r="F3" s="34" t="s">
        <v>1</v>
      </c>
      <c r="G3" s="154">
        <v>37209</v>
      </c>
      <c r="H3" s="36" t="s">
        <v>95</v>
      </c>
      <c r="M3" s="28"/>
    </row>
    <row r="4" spans="2:13" x14ac:dyDescent="0.3">
      <c r="B4" s="31" t="s">
        <v>59</v>
      </c>
      <c r="C4" s="46" t="s">
        <v>70</v>
      </c>
      <c r="D4" s="34" t="s">
        <v>82</v>
      </c>
      <c r="E4" s="34" t="s">
        <v>1</v>
      </c>
      <c r="F4" s="34" t="s">
        <v>1</v>
      </c>
      <c r="G4" s="154">
        <v>38065</v>
      </c>
      <c r="H4" s="36" t="s">
        <v>95</v>
      </c>
      <c r="M4" s="28"/>
    </row>
    <row r="5" spans="2:13" x14ac:dyDescent="0.3">
      <c r="B5" s="31" t="s">
        <v>60</v>
      </c>
      <c r="C5" s="46" t="s">
        <v>71</v>
      </c>
      <c r="D5" s="34" t="s">
        <v>82</v>
      </c>
      <c r="E5" s="34" t="s">
        <v>1</v>
      </c>
      <c r="F5" s="34" t="s">
        <v>1</v>
      </c>
      <c r="G5" s="154">
        <v>36977</v>
      </c>
      <c r="H5" s="36" t="s">
        <v>95</v>
      </c>
      <c r="M5" s="28"/>
    </row>
    <row r="6" spans="2:13" x14ac:dyDescent="0.3">
      <c r="B6" s="31" t="s">
        <v>61</v>
      </c>
      <c r="C6" s="46" t="s">
        <v>72</v>
      </c>
      <c r="D6" s="34" t="s">
        <v>82</v>
      </c>
      <c r="E6" s="34" t="s">
        <v>1</v>
      </c>
      <c r="F6" s="34" t="s">
        <v>1</v>
      </c>
      <c r="G6" s="154">
        <v>39177</v>
      </c>
      <c r="H6" s="36" t="s">
        <v>95</v>
      </c>
      <c r="M6" s="28"/>
    </row>
    <row r="7" spans="2:13" x14ac:dyDescent="0.3">
      <c r="B7" s="31" t="s">
        <v>62</v>
      </c>
      <c r="C7" s="46" t="s">
        <v>73</v>
      </c>
      <c r="D7" s="34" t="s">
        <v>82</v>
      </c>
      <c r="E7" s="34" t="s">
        <v>1</v>
      </c>
      <c r="F7" s="34" t="s">
        <v>1</v>
      </c>
      <c r="G7" s="154">
        <v>39954</v>
      </c>
      <c r="H7" s="36" t="s">
        <v>95</v>
      </c>
      <c r="M7" s="28"/>
    </row>
    <row r="8" spans="2:13" x14ac:dyDescent="0.3">
      <c r="B8" s="31" t="s">
        <v>63</v>
      </c>
      <c r="C8" s="46" t="s">
        <v>74</v>
      </c>
      <c r="D8" s="34" t="s">
        <v>82</v>
      </c>
      <c r="E8" s="34" t="s">
        <v>1</v>
      </c>
      <c r="F8" s="34" t="s">
        <v>1</v>
      </c>
      <c r="G8" s="154">
        <v>40669</v>
      </c>
      <c r="H8" s="36" t="s">
        <v>95</v>
      </c>
      <c r="M8" s="28"/>
    </row>
    <row r="9" spans="2:13" x14ac:dyDescent="0.3">
      <c r="B9" s="31" t="s">
        <v>64</v>
      </c>
      <c r="C9" s="46" t="s">
        <v>75</v>
      </c>
      <c r="D9" s="34" t="s">
        <v>82</v>
      </c>
      <c r="E9" s="34" t="s">
        <v>1</v>
      </c>
      <c r="F9" s="34" t="s">
        <v>1</v>
      </c>
      <c r="G9" s="154">
        <v>40340</v>
      </c>
      <c r="H9" s="36" t="s">
        <v>95</v>
      </c>
      <c r="M9" s="28"/>
    </row>
    <row r="10" spans="2:13" x14ac:dyDescent="0.3">
      <c r="B10" s="31" t="s">
        <v>65</v>
      </c>
      <c r="C10" s="46" t="s">
        <v>76</v>
      </c>
      <c r="D10" s="34" t="s">
        <v>82</v>
      </c>
      <c r="E10" s="34" t="s">
        <v>1</v>
      </c>
      <c r="F10" s="34" t="s">
        <v>1</v>
      </c>
      <c r="G10" s="154">
        <v>41031</v>
      </c>
      <c r="H10" s="36" t="s">
        <v>95</v>
      </c>
      <c r="M10" s="28"/>
    </row>
    <row r="11" spans="2:13" x14ac:dyDescent="0.3">
      <c r="B11" s="31" t="s">
        <v>66</v>
      </c>
      <c r="C11" s="46" t="s">
        <v>77</v>
      </c>
      <c r="D11" s="34" t="s">
        <v>82</v>
      </c>
      <c r="E11" s="34" t="s">
        <v>1</v>
      </c>
      <c r="F11" s="34" t="s">
        <v>1</v>
      </c>
      <c r="G11" s="34" t="s">
        <v>81</v>
      </c>
      <c r="H11" s="36" t="s">
        <v>80</v>
      </c>
      <c r="M11" s="28"/>
    </row>
    <row r="12" spans="2:13" x14ac:dyDescent="0.3">
      <c r="B12" s="31" t="s">
        <v>55</v>
      </c>
      <c r="C12" s="46" t="s">
        <v>97</v>
      </c>
      <c r="D12" s="34" t="s">
        <v>79</v>
      </c>
      <c r="E12" s="34" t="s">
        <v>0</v>
      </c>
      <c r="F12" s="34" t="s">
        <v>1</v>
      </c>
      <c r="G12" s="154">
        <v>41257</v>
      </c>
      <c r="H12" s="36" t="s">
        <v>80</v>
      </c>
      <c r="M12" s="28"/>
    </row>
    <row r="13" spans="2:13" x14ac:dyDescent="0.3">
      <c r="B13" s="31" t="s">
        <v>105</v>
      </c>
      <c r="C13" s="46" t="s">
        <v>106</v>
      </c>
      <c r="D13" s="34" t="s">
        <v>79</v>
      </c>
      <c r="E13" s="34" t="s">
        <v>1</v>
      </c>
      <c r="F13" s="34" t="s">
        <v>1</v>
      </c>
      <c r="G13" s="154">
        <v>37246</v>
      </c>
      <c r="H13" s="36" t="s">
        <v>80</v>
      </c>
      <c r="M13" s="28"/>
    </row>
    <row r="14" spans="2:13" x14ac:dyDescent="0.3">
      <c r="B14" s="31" t="s">
        <v>10</v>
      </c>
      <c r="C14" s="46"/>
      <c r="D14" s="34"/>
      <c r="E14" s="34" t="s">
        <v>2</v>
      </c>
      <c r="F14" s="34" t="s">
        <v>2</v>
      </c>
      <c r="G14" s="34"/>
      <c r="H14" s="36"/>
      <c r="M14" s="28"/>
    </row>
    <row r="15" spans="2:13" x14ac:dyDescent="0.3">
      <c r="B15" s="31" t="s">
        <v>11</v>
      </c>
      <c r="C15" s="46"/>
      <c r="D15" s="34"/>
      <c r="E15" s="34" t="s">
        <v>2</v>
      </c>
      <c r="F15" s="34" t="s">
        <v>2</v>
      </c>
      <c r="G15" s="34"/>
      <c r="H15" s="36"/>
      <c r="M15" s="28"/>
    </row>
    <row r="16" spans="2:13" x14ac:dyDescent="0.3">
      <c r="B16" s="31" t="s">
        <v>12</v>
      </c>
      <c r="C16" s="46"/>
      <c r="D16" s="34"/>
      <c r="E16" s="34" t="s">
        <v>2</v>
      </c>
      <c r="F16" s="34" t="s">
        <v>2</v>
      </c>
      <c r="G16" s="34"/>
      <c r="H16" s="36"/>
      <c r="M16" s="28"/>
    </row>
    <row r="17" spans="2:13" x14ac:dyDescent="0.3">
      <c r="B17" s="31" t="s">
        <v>13</v>
      </c>
      <c r="C17" s="46"/>
      <c r="D17" s="34"/>
      <c r="E17" s="34" t="s">
        <v>2</v>
      </c>
      <c r="F17" s="34" t="s">
        <v>2</v>
      </c>
      <c r="G17" s="34"/>
      <c r="H17" s="36"/>
      <c r="M17" s="28"/>
    </row>
    <row r="18" spans="2:13" x14ac:dyDescent="0.3">
      <c r="B18" s="31" t="s">
        <v>14</v>
      </c>
      <c r="C18" s="46"/>
      <c r="D18" s="34"/>
      <c r="E18" s="34" t="s">
        <v>2</v>
      </c>
      <c r="F18" s="34" t="s">
        <v>2</v>
      </c>
      <c r="G18" s="34"/>
      <c r="H18" s="36"/>
      <c r="M18" s="28"/>
    </row>
    <row r="19" spans="2:13" x14ac:dyDescent="0.3">
      <c r="B19" s="31" t="s">
        <v>15</v>
      </c>
      <c r="C19" s="46"/>
      <c r="D19" s="34"/>
      <c r="E19" s="34" t="s">
        <v>2</v>
      </c>
      <c r="F19" s="34" t="s">
        <v>2</v>
      </c>
      <c r="G19" s="34"/>
      <c r="H19" s="36"/>
      <c r="M19" s="28"/>
    </row>
    <row r="20" spans="2:13" x14ac:dyDescent="0.3">
      <c r="B20" s="31" t="s">
        <v>16</v>
      </c>
      <c r="C20" s="46"/>
      <c r="D20" s="34"/>
      <c r="E20" s="34" t="s">
        <v>2</v>
      </c>
      <c r="F20" s="34" t="s">
        <v>2</v>
      </c>
      <c r="G20" s="34"/>
      <c r="H20" s="36"/>
      <c r="M20" s="28"/>
    </row>
    <row r="21" spans="2:13" x14ac:dyDescent="0.3">
      <c r="B21" s="31" t="s">
        <v>17</v>
      </c>
      <c r="C21" s="46"/>
      <c r="D21" s="34"/>
      <c r="E21" s="34" t="s">
        <v>2</v>
      </c>
      <c r="F21" s="34" t="s">
        <v>2</v>
      </c>
      <c r="G21" s="34"/>
      <c r="H21" s="36"/>
      <c r="M21" s="28"/>
    </row>
    <row r="22" spans="2:13" x14ac:dyDescent="0.3">
      <c r="B22" s="31" t="s">
        <v>18</v>
      </c>
      <c r="C22" s="46"/>
      <c r="D22" s="34"/>
      <c r="E22" s="34" t="s">
        <v>2</v>
      </c>
      <c r="F22" s="34" t="s">
        <v>2</v>
      </c>
      <c r="G22" s="34"/>
      <c r="H22" s="36"/>
      <c r="M22" s="28"/>
    </row>
    <row r="23" spans="2:13" x14ac:dyDescent="0.3">
      <c r="B23" s="31" t="s">
        <v>19</v>
      </c>
      <c r="C23" s="46"/>
      <c r="D23" s="34"/>
      <c r="E23" s="34" t="s">
        <v>2</v>
      </c>
      <c r="F23" s="34" t="s">
        <v>2</v>
      </c>
      <c r="G23" s="34"/>
      <c r="H23" s="36"/>
      <c r="M23" s="28"/>
    </row>
    <row r="24" spans="2:13" x14ac:dyDescent="0.3">
      <c r="B24" s="31" t="s">
        <v>20</v>
      </c>
      <c r="C24" s="46"/>
      <c r="D24" s="34"/>
      <c r="E24" s="34" t="s">
        <v>2</v>
      </c>
      <c r="F24" s="34" t="s">
        <v>2</v>
      </c>
      <c r="G24" s="34"/>
      <c r="H24" s="36"/>
      <c r="M24" s="28"/>
    </row>
    <row r="25" spans="2:13" x14ac:dyDescent="0.3">
      <c r="B25" s="31" t="s">
        <v>21</v>
      </c>
      <c r="C25" s="46"/>
      <c r="D25" s="34"/>
      <c r="E25" s="34" t="s">
        <v>2</v>
      </c>
      <c r="F25" s="34" t="s">
        <v>2</v>
      </c>
      <c r="G25" s="34"/>
      <c r="H25" s="36"/>
      <c r="M25" s="28"/>
    </row>
    <row r="26" spans="2:13" x14ac:dyDescent="0.3">
      <c r="B26" s="31" t="s">
        <v>22</v>
      </c>
      <c r="C26" s="46"/>
      <c r="D26" s="34"/>
      <c r="E26" s="34" t="s">
        <v>2</v>
      </c>
      <c r="F26" s="34" t="s">
        <v>2</v>
      </c>
      <c r="G26" s="34"/>
      <c r="H26" s="36"/>
      <c r="M26" s="28"/>
    </row>
    <row r="27" spans="2:13" x14ac:dyDescent="0.3">
      <c r="B27" s="31" t="s">
        <v>23</v>
      </c>
      <c r="C27" s="46"/>
      <c r="D27" s="34"/>
      <c r="E27" s="34" t="s">
        <v>2</v>
      </c>
      <c r="F27" s="34" t="s">
        <v>2</v>
      </c>
      <c r="G27" s="34"/>
      <c r="H27" s="36"/>
      <c r="M27" s="28"/>
    </row>
    <row r="28" spans="2:13" x14ac:dyDescent="0.3">
      <c r="B28" s="31" t="s">
        <v>24</v>
      </c>
      <c r="C28" s="46"/>
      <c r="D28" s="34"/>
      <c r="E28" s="34" t="s">
        <v>2</v>
      </c>
      <c r="F28" s="34" t="s">
        <v>2</v>
      </c>
      <c r="G28" s="34"/>
      <c r="H28" s="36"/>
      <c r="M28" s="28"/>
    </row>
    <row r="29" spans="2:13" x14ac:dyDescent="0.3">
      <c r="B29" s="31" t="s">
        <v>25</v>
      </c>
      <c r="C29" s="46"/>
      <c r="D29" s="34"/>
      <c r="E29" s="34" t="s">
        <v>2</v>
      </c>
      <c r="F29" s="34" t="s">
        <v>2</v>
      </c>
      <c r="G29" s="34"/>
      <c r="H29" s="36"/>
      <c r="M29" s="28"/>
    </row>
    <row r="30" spans="2:13" x14ac:dyDescent="0.3">
      <c r="B30" s="31" t="s">
        <v>26</v>
      </c>
      <c r="C30" s="46"/>
      <c r="D30" s="34"/>
      <c r="E30" s="34" t="s">
        <v>2</v>
      </c>
      <c r="F30" s="34" t="s">
        <v>2</v>
      </c>
      <c r="G30" s="34"/>
      <c r="H30" s="36"/>
      <c r="M30" s="28"/>
    </row>
    <row r="31" spans="2:13" x14ac:dyDescent="0.3">
      <c r="B31" s="32" t="s">
        <v>27</v>
      </c>
      <c r="C31" s="47"/>
      <c r="D31" s="35"/>
      <c r="E31" s="35" t="s">
        <v>2</v>
      </c>
      <c r="F31" s="35" t="s">
        <v>2</v>
      </c>
      <c r="G31" s="35"/>
      <c r="H31" s="38"/>
      <c r="M31" s="28"/>
    </row>
    <row r="32" spans="2:13" x14ac:dyDescent="0.3">
      <c r="B32" s="28"/>
    </row>
    <row r="33" spans="1:12" ht="31.5" customHeight="1" thickBot="1" x14ac:dyDescent="0.35">
      <c r="B33" s="176"/>
      <c r="C33" s="176"/>
      <c r="D33" s="176"/>
      <c r="E33" s="176"/>
      <c r="F33" s="176"/>
      <c r="H33" s="41"/>
      <c r="I33" s="41"/>
      <c r="J33" s="41"/>
      <c r="K33" s="41"/>
      <c r="L33" s="41"/>
    </row>
    <row r="34" spans="1:12" x14ac:dyDescent="0.3">
      <c r="A34" s="8"/>
      <c r="B34" s="8"/>
      <c r="C34" s="8"/>
      <c r="D34" s="8"/>
      <c r="E34" s="8"/>
      <c r="F34" s="8"/>
      <c r="G34" s="8"/>
      <c r="H34" s="41"/>
      <c r="I34" s="41"/>
      <c r="J34" s="41"/>
      <c r="K34" s="41"/>
    </row>
    <row r="35" spans="1:12" x14ac:dyDescent="0.3">
      <c r="I35" s="41"/>
      <c r="J35" s="41"/>
      <c r="K35" s="41"/>
    </row>
    <row r="36" spans="1:12" ht="21" x14ac:dyDescent="0.4">
      <c r="A36" s="16" t="s">
        <v>4</v>
      </c>
      <c r="C36" s="54" t="str">
        <f>B2</f>
        <v>Long Lake #3</v>
      </c>
      <c r="D36" s="55"/>
      <c r="E36" s="26"/>
      <c r="F36" s="26"/>
      <c r="I36" s="41"/>
      <c r="J36" s="41"/>
      <c r="K36" s="41"/>
    </row>
    <row r="37" spans="1:12" x14ac:dyDescent="0.3">
      <c r="I37" s="41"/>
      <c r="J37" s="41"/>
      <c r="K37" s="41"/>
    </row>
    <row r="38" spans="1:12" ht="18" x14ac:dyDescent="0.35">
      <c r="A38" s="9" t="s">
        <v>36</v>
      </c>
      <c r="D38" s="2">
        <v>2012</v>
      </c>
      <c r="E38" s="2">
        <f>D38+1</f>
        <v>2013</v>
      </c>
      <c r="F38" s="2">
        <f>E38+1</f>
        <v>2014</v>
      </c>
      <c r="G38" s="2">
        <f>F38+1</f>
        <v>2015</v>
      </c>
      <c r="H38" s="28"/>
      <c r="I38" s="28"/>
      <c r="J38" s="28"/>
      <c r="K38" s="41"/>
    </row>
    <row r="39" spans="1:12" x14ac:dyDescent="0.3">
      <c r="B39" s="102" t="str">
        <f>"Total MWh Produced / Purchased from " &amp; C36</f>
        <v>Total MWh Produced / Purchased from Long Lake #3</v>
      </c>
      <c r="C39" s="89"/>
      <c r="D39" s="3">
        <v>14197</v>
      </c>
      <c r="E39" s="4">
        <v>14197.425619726186</v>
      </c>
      <c r="F39" s="5">
        <v>14197.425619726186</v>
      </c>
      <c r="G39" s="5">
        <v>14197.425619726186</v>
      </c>
      <c r="H39" s="27"/>
      <c r="I39" s="27"/>
      <c r="J39" s="27"/>
      <c r="K39" s="41"/>
    </row>
    <row r="40" spans="1:12" x14ac:dyDescent="0.3">
      <c r="B40" s="102" t="s">
        <v>41</v>
      </c>
      <c r="C40" s="89"/>
      <c r="D40" s="69">
        <v>1</v>
      </c>
      <c r="E40" s="70">
        <v>1</v>
      </c>
      <c r="F40" s="71">
        <v>1</v>
      </c>
      <c r="G40" s="71">
        <v>1</v>
      </c>
      <c r="H40" s="27"/>
      <c r="I40" s="27"/>
      <c r="J40" s="27"/>
      <c r="K40" s="41"/>
    </row>
    <row r="41" spans="1:12" x14ac:dyDescent="0.3">
      <c r="B41" s="102" t="s">
        <v>35</v>
      </c>
      <c r="C41" s="89"/>
      <c r="D41" s="62">
        <v>1</v>
      </c>
      <c r="E41" s="63">
        <v>1</v>
      </c>
      <c r="F41" s="64">
        <v>1</v>
      </c>
      <c r="G41" s="64">
        <v>1</v>
      </c>
      <c r="H41" s="27"/>
      <c r="I41" s="27"/>
      <c r="J41" s="27"/>
      <c r="K41" s="41"/>
    </row>
    <row r="42" spans="1:12" x14ac:dyDescent="0.3">
      <c r="B42" s="99" t="s">
        <v>37</v>
      </c>
      <c r="C42" s="100"/>
      <c r="D42" s="49">
        <f xml:space="preserve"> D39 * D40 * D41</f>
        <v>14197</v>
      </c>
      <c r="E42" s="49">
        <f xml:space="preserve"> E39 * E40 * E41</f>
        <v>14197.425619726186</v>
      </c>
      <c r="F42" s="49">
        <f xml:space="preserve"> F39 * F40 * F41</f>
        <v>14197.425619726186</v>
      </c>
      <c r="G42" s="49">
        <f xml:space="preserve"> G39 * G40 * G41</f>
        <v>14197.425619726186</v>
      </c>
      <c r="H42" s="27"/>
      <c r="I42" s="27"/>
      <c r="J42" s="27"/>
      <c r="K42" s="41"/>
    </row>
    <row r="43" spans="1:12" x14ac:dyDescent="0.3">
      <c r="B43" s="26"/>
      <c r="C43" s="41"/>
      <c r="D43" s="48"/>
      <c r="E43" s="48"/>
      <c r="F43" s="48"/>
      <c r="G43" s="48"/>
      <c r="H43" s="27"/>
      <c r="I43" s="27"/>
      <c r="J43" s="27"/>
      <c r="K43" s="41"/>
    </row>
    <row r="44" spans="1:12" ht="18" x14ac:dyDescent="0.35">
      <c r="A44" s="56" t="s">
        <v>39</v>
      </c>
      <c r="C44" s="41"/>
      <c r="D44" s="2">
        <v>2012</v>
      </c>
      <c r="E44" s="2">
        <f>E38</f>
        <v>2013</v>
      </c>
      <c r="F44" s="2">
        <f>F38</f>
        <v>2014</v>
      </c>
      <c r="G44" s="2">
        <f>G38</f>
        <v>2015</v>
      </c>
      <c r="H44" s="27"/>
      <c r="I44" s="27"/>
      <c r="J44" s="27"/>
      <c r="K44" s="41"/>
    </row>
    <row r="45" spans="1:12" x14ac:dyDescent="0.3">
      <c r="B45" s="102" t="s">
        <v>28</v>
      </c>
      <c r="C45" s="89"/>
      <c r="D45" s="65">
        <f>IF( $E2 = "Eligible", D42 * 'Facility Detail'!$B$462, 0 )</f>
        <v>0</v>
      </c>
      <c r="E45" s="13">
        <f>IF( $E2 = "Eligible", E42 * 'Facility Detail'!$B$462, 0 )</f>
        <v>0</v>
      </c>
      <c r="F45" s="14">
        <f>IF( $E2 = "Eligible", F42 * 'Facility Detail'!$B$462, 0 )</f>
        <v>0</v>
      </c>
      <c r="G45" s="14">
        <f>IF( $E2 = "Eligible", G42 * 'Facility Detail'!$B$462, 0 )</f>
        <v>0</v>
      </c>
      <c r="H45" s="27"/>
      <c r="I45" s="27"/>
      <c r="J45" s="27"/>
      <c r="K45" s="41"/>
    </row>
    <row r="46" spans="1:12" x14ac:dyDescent="0.3">
      <c r="B46" s="102" t="s">
        <v>6</v>
      </c>
      <c r="C46" s="89"/>
      <c r="D46" s="66">
        <f>IF( $F2 = "Eligible", D42, 0 )</f>
        <v>0</v>
      </c>
      <c r="E46" s="67">
        <f>IF( $F2 = "Eligible", E42, 0 )</f>
        <v>0</v>
      </c>
      <c r="F46" s="68">
        <f>IF( $F2 = "Eligible", F42, 0 )</f>
        <v>0</v>
      </c>
      <c r="G46" s="68">
        <f>IF( $F2 = "Eligible", G42, 0 )</f>
        <v>0</v>
      </c>
      <c r="H46" s="27"/>
      <c r="I46" s="27"/>
      <c r="J46" s="27"/>
      <c r="K46" s="41"/>
    </row>
    <row r="47" spans="1:12" x14ac:dyDescent="0.3">
      <c r="B47" s="101" t="s">
        <v>48</v>
      </c>
      <c r="C47" s="100"/>
      <c r="D47" s="51">
        <f>SUM(D45:D46)</f>
        <v>0</v>
      </c>
      <c r="E47" s="52">
        <f>SUM(E45:E46)</f>
        <v>0</v>
      </c>
      <c r="F47" s="52">
        <f>SUM(F45:F46)</f>
        <v>0</v>
      </c>
      <c r="G47" s="52">
        <f>SUM(G45:G46)</f>
        <v>0</v>
      </c>
      <c r="H47" s="27"/>
      <c r="I47" s="27"/>
      <c r="J47" s="27"/>
      <c r="K47" s="41"/>
    </row>
    <row r="48" spans="1:12" x14ac:dyDescent="0.3">
      <c r="B48" s="41"/>
      <c r="C48" s="41"/>
      <c r="D48" s="50"/>
      <c r="E48" s="42"/>
      <c r="F48" s="42"/>
      <c r="G48" s="42"/>
      <c r="H48" s="27"/>
      <c r="I48" s="27"/>
      <c r="J48" s="27"/>
      <c r="K48" s="41"/>
    </row>
    <row r="49" spans="1:11" ht="18" x14ac:dyDescent="0.35">
      <c r="A49" s="53" t="s">
        <v>46</v>
      </c>
      <c r="C49" s="41"/>
      <c r="D49" s="2">
        <f>D38</f>
        <v>2012</v>
      </c>
      <c r="E49" s="2">
        <f>E38</f>
        <v>2013</v>
      </c>
      <c r="F49" s="2">
        <f>F38</f>
        <v>2014</v>
      </c>
      <c r="G49" s="2">
        <f>G38</f>
        <v>2015</v>
      </c>
      <c r="H49" s="27"/>
      <c r="I49" s="27"/>
      <c r="J49" s="27"/>
      <c r="K49" s="41"/>
    </row>
    <row r="50" spans="1:11" x14ac:dyDescent="0.3">
      <c r="B50" s="102" t="s">
        <v>50</v>
      </c>
      <c r="C50" s="41"/>
      <c r="D50" s="110">
        <v>0</v>
      </c>
      <c r="E50" s="111">
        <v>0</v>
      </c>
      <c r="F50" s="112">
        <v>0</v>
      </c>
      <c r="G50" s="112">
        <v>0</v>
      </c>
      <c r="H50" s="27"/>
      <c r="I50" s="27"/>
      <c r="J50" s="27"/>
      <c r="K50" s="41"/>
    </row>
    <row r="51" spans="1:11" x14ac:dyDescent="0.3">
      <c r="B51" s="103" t="s">
        <v>38</v>
      </c>
      <c r="C51" s="108"/>
      <c r="D51" s="113">
        <v>0</v>
      </c>
      <c r="E51" s="114">
        <v>0</v>
      </c>
      <c r="F51" s="115">
        <v>0</v>
      </c>
      <c r="G51" s="115">
        <v>0</v>
      </c>
      <c r="H51" s="27"/>
      <c r="I51" s="27"/>
      <c r="J51" s="27"/>
      <c r="K51" s="41"/>
    </row>
    <row r="52" spans="1:11" x14ac:dyDescent="0.3">
      <c r="B52" s="116" t="s">
        <v>52</v>
      </c>
      <c r="C52" s="108"/>
      <c r="D52" s="72">
        <v>0</v>
      </c>
      <c r="E52" s="73">
        <v>0</v>
      </c>
      <c r="F52" s="74">
        <v>0</v>
      </c>
      <c r="G52" s="74">
        <v>0</v>
      </c>
      <c r="H52" s="27"/>
      <c r="I52" s="27"/>
      <c r="J52" s="27"/>
      <c r="K52" s="41"/>
    </row>
    <row r="53" spans="1:11" x14ac:dyDescent="0.3">
      <c r="B53" s="44" t="s">
        <v>53</v>
      </c>
      <c r="D53" s="7">
        <f>SUM(D50:D52)</f>
        <v>0</v>
      </c>
      <c r="E53" s="7">
        <f>SUM(E50:E52)</f>
        <v>0</v>
      </c>
      <c r="F53" s="7">
        <f>SUM(F50:F52)</f>
        <v>0</v>
      </c>
      <c r="G53" s="7">
        <f>SUM(G50:G52)</f>
        <v>0</v>
      </c>
      <c r="H53" s="39"/>
      <c r="I53" s="39"/>
      <c r="J53" s="39"/>
      <c r="K53" s="41"/>
    </row>
    <row r="54" spans="1:11" x14ac:dyDescent="0.3">
      <c r="B54" s="6"/>
      <c r="D54" s="7"/>
      <c r="E54" s="7"/>
      <c r="F54" s="7"/>
      <c r="G54" s="7"/>
      <c r="H54" s="39"/>
      <c r="I54" s="39"/>
      <c r="J54" s="39"/>
      <c r="K54" s="41"/>
    </row>
    <row r="55" spans="1:11" ht="18" x14ac:dyDescent="0.35">
      <c r="A55" s="9" t="s">
        <v>54</v>
      </c>
      <c r="D55" s="2">
        <v>2012</v>
      </c>
      <c r="E55" s="2">
        <f>D55+1</f>
        <v>2013</v>
      </c>
      <c r="F55" s="2">
        <f>E55+1</f>
        <v>2014</v>
      </c>
      <c r="G55" s="2">
        <f>F55+1</f>
        <v>2015</v>
      </c>
      <c r="H55" s="39"/>
      <c r="I55" s="39"/>
      <c r="J55" s="39"/>
      <c r="K55" s="41"/>
    </row>
    <row r="56" spans="1:11" x14ac:dyDescent="0.3">
      <c r="B56" s="102" t="str">
        <f xml:space="preserve"> 'Facility Detail'!$B$465 &amp; " Surplus Applied to " &amp; ( 'Facility Detail'!$B$465 + 1 )</f>
        <v>2012 Surplus Applied to 2013</v>
      </c>
      <c r="C56" s="41"/>
      <c r="D56" s="3"/>
      <c r="E56" s="75">
        <f>D56</f>
        <v>0</v>
      </c>
      <c r="F56" s="164"/>
      <c r="G56" s="77"/>
      <c r="H56" s="39"/>
      <c r="I56" s="39"/>
      <c r="J56" s="39"/>
      <c r="K56" s="41"/>
    </row>
    <row r="57" spans="1:11" x14ac:dyDescent="0.3">
      <c r="B57" s="102" t="str">
        <f xml:space="preserve"> ( 'Facility Detail'!$B$465 + 1 ) &amp; " Surplus Applied to " &amp; ( 'Facility Detail'!$B$465 )</f>
        <v>2013 Surplus Applied to 2012</v>
      </c>
      <c r="C57" s="41"/>
      <c r="D57" s="165">
        <f>E57</f>
        <v>0</v>
      </c>
      <c r="E57" s="10"/>
      <c r="F57" s="96"/>
      <c r="G57" s="95"/>
      <c r="H57" s="39"/>
      <c r="I57" s="39"/>
      <c r="J57" s="39"/>
      <c r="K57" s="41"/>
    </row>
    <row r="58" spans="1:11" x14ac:dyDescent="0.3">
      <c r="B58" s="102" t="str">
        <f xml:space="preserve"> ( 'Facility Detail'!$B$465 + 1 ) &amp; " Surplus Applied to " &amp; ( 'Facility Detail'!$B$465 + 2 )</f>
        <v>2013 Surplus Applied to 2014</v>
      </c>
      <c r="C58" s="41"/>
      <c r="D58" s="78"/>
      <c r="E58" s="10"/>
      <c r="F58" s="88">
        <f>E58</f>
        <v>0</v>
      </c>
      <c r="G58" s="95"/>
      <c r="H58" s="39"/>
      <c r="I58" s="39"/>
      <c r="J58" s="39"/>
      <c r="K58" s="41"/>
    </row>
    <row r="59" spans="1:11" x14ac:dyDescent="0.3">
      <c r="B59" s="102" t="str">
        <f xml:space="preserve"> ( 'Facility Detail'!$B$465 + 2 ) &amp; " Surplus Applied to " &amp; ( 'Facility Detail'!$B$465 + 1 )</f>
        <v>2014 Surplus Applied to 2013</v>
      </c>
      <c r="C59" s="41"/>
      <c r="D59" s="78"/>
      <c r="E59" s="88">
        <f>F59</f>
        <v>0</v>
      </c>
      <c r="F59" s="10"/>
      <c r="G59" s="95"/>
      <c r="H59" s="39"/>
      <c r="I59" s="39"/>
      <c r="J59" s="39"/>
      <c r="K59" s="41"/>
    </row>
    <row r="60" spans="1:11" x14ac:dyDescent="0.3">
      <c r="B60" s="102" t="str">
        <f xml:space="preserve"> ( 'Facility Detail'!$B$465 + 2 ) &amp; " Surplus Applied to " &amp; ( 'Facility Detail'!$B$465 + 3 )</f>
        <v>2014 Surplus Applied to 2015</v>
      </c>
      <c r="C60" s="41"/>
      <c r="D60" s="78"/>
      <c r="E60" s="96"/>
      <c r="F60" s="10"/>
      <c r="G60" s="166">
        <f>F60</f>
        <v>0</v>
      </c>
      <c r="H60" s="39"/>
      <c r="I60" s="39"/>
      <c r="J60" s="39"/>
      <c r="K60" s="41"/>
    </row>
    <row r="61" spans="1:11" x14ac:dyDescent="0.3">
      <c r="B61" s="102" t="str">
        <f xml:space="preserve"> ( 'Facility Detail'!$B$465 +3 ) &amp; " Surplus Applied to " &amp; ( 'Facility Detail'!$B$465 + 2 )</f>
        <v>2015 Surplus Applied to 2014</v>
      </c>
      <c r="C61" s="41"/>
      <c r="D61" s="79"/>
      <c r="E61" s="97"/>
      <c r="F61" s="76">
        <f>G61</f>
        <v>0</v>
      </c>
      <c r="G61" s="167"/>
      <c r="H61" s="39"/>
      <c r="I61" s="39"/>
      <c r="J61" s="39"/>
      <c r="K61" s="41"/>
    </row>
    <row r="62" spans="1:11" x14ac:dyDescent="0.3">
      <c r="B62" s="44" t="s">
        <v>34</v>
      </c>
      <c r="D62" s="7">
        <f xml:space="preserve"> D57 - D56</f>
        <v>0</v>
      </c>
      <c r="E62" s="7">
        <f xml:space="preserve"> E56 + E59 - E58 - E57</f>
        <v>0</v>
      </c>
      <c r="F62" s="7">
        <f>F58+F61-F59-F60</f>
        <v>0</v>
      </c>
      <c r="G62" s="7">
        <f>G60-G61</f>
        <v>0</v>
      </c>
      <c r="H62" s="39"/>
      <c r="I62" s="39"/>
      <c r="J62" s="39"/>
      <c r="K62" s="41"/>
    </row>
    <row r="63" spans="1:11" x14ac:dyDescent="0.3">
      <c r="B63" s="6"/>
      <c r="D63" s="7"/>
      <c r="E63" s="7"/>
      <c r="F63" s="7"/>
      <c r="G63" s="7"/>
      <c r="H63" s="39"/>
      <c r="I63" s="39"/>
      <c r="J63" s="39"/>
      <c r="K63" s="41"/>
    </row>
    <row r="64" spans="1:11" x14ac:dyDescent="0.3">
      <c r="B64" s="109" t="s">
        <v>30</v>
      </c>
      <c r="C64" s="89"/>
      <c r="D64" s="125"/>
      <c r="E64" s="126"/>
      <c r="F64" s="127"/>
      <c r="G64" s="127"/>
      <c r="H64" s="39"/>
      <c r="I64" s="39"/>
      <c r="J64" s="39"/>
      <c r="K64" s="41"/>
    </row>
    <row r="65" spans="1:11" x14ac:dyDescent="0.3">
      <c r="B65" s="6"/>
      <c r="D65" s="7"/>
      <c r="E65" s="7"/>
      <c r="F65" s="7"/>
      <c r="G65" s="7"/>
      <c r="H65" s="39"/>
      <c r="I65" s="39"/>
      <c r="J65" s="39"/>
      <c r="K65" s="41"/>
    </row>
    <row r="66" spans="1:11" ht="15.6" x14ac:dyDescent="0.3">
      <c r="A66" s="105" t="s">
        <v>42</v>
      </c>
      <c r="C66" s="89"/>
      <c r="D66" s="57">
        <f xml:space="preserve"> D42 + D47 - D53 + D62 + D64</f>
        <v>14197</v>
      </c>
      <c r="E66" s="58">
        <f xml:space="preserve"> E42 + E47 - E53 + E62 + E64</f>
        <v>14197.425619726186</v>
      </c>
      <c r="F66" s="59">
        <f xml:space="preserve"> F42 + F47 - F53 + F62 + F64</f>
        <v>14197.425619726186</v>
      </c>
      <c r="G66" s="59">
        <f xml:space="preserve"> G42 + G47 - G53 + G62 + G64</f>
        <v>14197.425619726186</v>
      </c>
      <c r="H66" s="39"/>
      <c r="I66" s="39"/>
      <c r="J66" s="39"/>
      <c r="K66" s="41"/>
    </row>
    <row r="67" spans="1:11" x14ac:dyDescent="0.3">
      <c r="B67" s="6"/>
      <c r="D67" s="7"/>
      <c r="E67" s="7"/>
      <c r="F67" s="7"/>
      <c r="G67" s="39"/>
      <c r="H67" s="39"/>
      <c r="I67" s="39"/>
      <c r="J67" s="39"/>
      <c r="K67" s="41"/>
    </row>
    <row r="68" spans="1:11" ht="15" thickBot="1" x14ac:dyDescent="0.35">
      <c r="H68" s="41"/>
      <c r="I68" s="41"/>
      <c r="J68" s="41"/>
      <c r="K68" s="41"/>
    </row>
    <row r="69" spans="1:11" x14ac:dyDescent="0.3">
      <c r="A69" s="8"/>
      <c r="B69" s="8"/>
      <c r="C69" s="8"/>
      <c r="D69" s="8"/>
      <c r="E69" s="8"/>
      <c r="F69" s="8"/>
      <c r="G69" s="8"/>
      <c r="H69" s="41"/>
      <c r="I69" s="41"/>
      <c r="J69" s="41"/>
      <c r="K69" s="41"/>
    </row>
    <row r="70" spans="1:11" x14ac:dyDescent="0.3">
      <c r="B70" s="41"/>
      <c r="C70" s="41"/>
      <c r="D70" s="41"/>
      <c r="E70" s="41"/>
      <c r="F70" s="41"/>
      <c r="G70" s="41"/>
      <c r="H70" s="41"/>
      <c r="I70" s="41"/>
      <c r="J70" s="41"/>
      <c r="K70" s="41"/>
    </row>
    <row r="71" spans="1:11" ht="21" x14ac:dyDescent="0.4">
      <c r="A71" s="16" t="s">
        <v>4</v>
      </c>
      <c r="B71" s="16"/>
      <c r="C71" s="54" t="str">
        <f>B3</f>
        <v>Little Falls #4</v>
      </c>
      <c r="D71" s="55"/>
      <c r="E71" s="26"/>
      <c r="F71" s="26"/>
      <c r="I71" s="41"/>
      <c r="J71" s="41"/>
      <c r="K71" s="41"/>
    </row>
    <row r="72" spans="1:11" x14ac:dyDescent="0.3">
      <c r="I72" s="41"/>
      <c r="J72" s="41"/>
      <c r="K72" s="41"/>
    </row>
    <row r="73" spans="1:11" ht="18" x14ac:dyDescent="0.35">
      <c r="A73" s="9" t="s">
        <v>36</v>
      </c>
      <c r="B73" s="9"/>
      <c r="D73" s="2">
        <v>2012</v>
      </c>
      <c r="E73" s="2">
        <f>D73+1</f>
        <v>2013</v>
      </c>
      <c r="F73" s="2">
        <f>E73+1</f>
        <v>2014</v>
      </c>
      <c r="G73" s="2">
        <f>F73+1</f>
        <v>2015</v>
      </c>
      <c r="H73" s="28"/>
      <c r="I73" s="28"/>
      <c r="J73" s="28"/>
      <c r="K73" s="41"/>
    </row>
    <row r="74" spans="1:11" x14ac:dyDescent="0.3">
      <c r="B74" s="102" t="str">
        <f>"Total MWh Produced / Purchased from " &amp; C71</f>
        <v>Total MWh Produced / Purchased from Little Falls #4</v>
      </c>
      <c r="C74" s="89"/>
      <c r="D74" s="3">
        <v>4862</v>
      </c>
      <c r="E74" s="4">
        <v>4862.043486025068</v>
      </c>
      <c r="F74" s="5">
        <v>4862.043486025068</v>
      </c>
      <c r="G74" s="5">
        <v>4862.043486025068</v>
      </c>
      <c r="H74" s="27"/>
      <c r="I74" s="27"/>
      <c r="J74" s="27"/>
      <c r="K74" s="41"/>
    </row>
    <row r="75" spans="1:11" x14ac:dyDescent="0.3">
      <c r="B75" s="102" t="s">
        <v>41</v>
      </c>
      <c r="C75" s="89"/>
      <c r="D75" s="69">
        <v>1</v>
      </c>
      <c r="E75" s="70">
        <v>1</v>
      </c>
      <c r="F75" s="71">
        <v>1</v>
      </c>
      <c r="G75" s="71">
        <v>1</v>
      </c>
      <c r="H75" s="27"/>
      <c r="I75" s="27"/>
      <c r="J75" s="27"/>
      <c r="K75" s="41"/>
    </row>
    <row r="76" spans="1:11" x14ac:dyDescent="0.3">
      <c r="B76" s="102" t="s">
        <v>35</v>
      </c>
      <c r="C76" s="89"/>
      <c r="D76" s="62">
        <v>1</v>
      </c>
      <c r="E76" s="63">
        <v>1</v>
      </c>
      <c r="F76" s="64">
        <v>1</v>
      </c>
      <c r="G76" s="64">
        <v>1</v>
      </c>
      <c r="H76" s="27"/>
      <c r="I76" s="27"/>
      <c r="J76" s="27"/>
      <c r="K76" s="41"/>
    </row>
    <row r="77" spans="1:11" x14ac:dyDescent="0.3">
      <c r="B77" s="99" t="s">
        <v>37</v>
      </c>
      <c r="C77" s="100"/>
      <c r="D77" s="49">
        <f xml:space="preserve"> D74 * D75 * D76</f>
        <v>4862</v>
      </c>
      <c r="E77" s="49">
        <f xml:space="preserve"> E74 * E75 * E76</f>
        <v>4862.043486025068</v>
      </c>
      <c r="F77" s="49">
        <f xml:space="preserve"> F74 * F75 * F76</f>
        <v>4862.043486025068</v>
      </c>
      <c r="G77" s="49">
        <f xml:space="preserve"> G74 * G75 * G76</f>
        <v>4862.043486025068</v>
      </c>
      <c r="H77" s="27"/>
      <c r="I77" s="27"/>
      <c r="J77" s="27"/>
      <c r="K77" s="41"/>
    </row>
    <row r="78" spans="1:11" x14ac:dyDescent="0.3">
      <c r="B78" s="26"/>
      <c r="C78" s="41"/>
      <c r="D78" s="48"/>
      <c r="E78" s="48"/>
      <c r="F78" s="48"/>
      <c r="G78" s="48"/>
      <c r="H78" s="27"/>
      <c r="I78" s="27"/>
      <c r="J78" s="27"/>
      <c r="K78" s="41"/>
    </row>
    <row r="79" spans="1:11" ht="18" x14ac:dyDescent="0.35">
      <c r="A79" s="56" t="s">
        <v>39</v>
      </c>
      <c r="C79" s="41"/>
      <c r="D79" s="2">
        <v>2012</v>
      </c>
      <c r="E79" s="2">
        <f>D79+1</f>
        <v>2013</v>
      </c>
      <c r="F79" s="2">
        <f>E79+1</f>
        <v>2014</v>
      </c>
      <c r="G79" s="2">
        <f>F79+1</f>
        <v>2015</v>
      </c>
      <c r="H79" s="27"/>
      <c r="I79" s="27"/>
      <c r="J79" s="27"/>
      <c r="K79" s="41"/>
    </row>
    <row r="80" spans="1:11" x14ac:dyDescent="0.3">
      <c r="B80" s="102" t="s">
        <v>28</v>
      </c>
      <c r="C80" s="89"/>
      <c r="D80" s="65">
        <f>IF( $E3 = "Eligible",D77 * 'Facility Detail'!$B$462, 0 )</f>
        <v>0</v>
      </c>
      <c r="E80" s="13">
        <f>IF( $E3 = "Eligible",E77 * 'Facility Detail'!$B$462, 0 )</f>
        <v>0</v>
      </c>
      <c r="F80" s="14">
        <f>IF( $E3 = "Eligible",F77 * 'Facility Detail'!$B$462, 0 )</f>
        <v>0</v>
      </c>
      <c r="G80" s="14">
        <f>IF( $E3 = "Eligible",G77 * 'Facility Detail'!$B$462, 0 )</f>
        <v>0</v>
      </c>
      <c r="H80" s="27"/>
      <c r="I80" s="27"/>
      <c r="J80" s="27"/>
      <c r="K80" s="41"/>
    </row>
    <row r="81" spans="1:11" x14ac:dyDescent="0.3">
      <c r="B81" s="102" t="s">
        <v>6</v>
      </c>
      <c r="C81" s="89"/>
      <c r="D81" s="66">
        <f>IF( $F3 = "Eligible", D77, 0 )</f>
        <v>0</v>
      </c>
      <c r="E81" s="67">
        <f>IF( $F3 = "Eligible", E77, 0 )</f>
        <v>0</v>
      </c>
      <c r="F81" s="68">
        <f>IF( $F3 = "Eligible", F77, 0 )</f>
        <v>0</v>
      </c>
      <c r="G81" s="68">
        <f>IF( $F3 = "Eligible", G77, 0 )</f>
        <v>0</v>
      </c>
      <c r="H81" s="27"/>
      <c r="I81" s="27"/>
      <c r="J81" s="27"/>
      <c r="K81" s="41"/>
    </row>
    <row r="82" spans="1:11" x14ac:dyDescent="0.3">
      <c r="B82" s="101" t="s">
        <v>48</v>
      </c>
      <c r="C82" s="100"/>
      <c r="D82" s="51">
        <f>SUM(D80:D81)</f>
        <v>0</v>
      </c>
      <c r="E82" s="52">
        <f>SUM(E80:E81)</f>
        <v>0</v>
      </c>
      <c r="F82" s="52">
        <f>SUM(F80:F81)</f>
        <v>0</v>
      </c>
      <c r="G82" s="52">
        <f>SUM(G80:G81)</f>
        <v>0</v>
      </c>
      <c r="H82" s="27"/>
      <c r="I82" s="27"/>
      <c r="J82" s="27"/>
      <c r="K82" s="41"/>
    </row>
    <row r="83" spans="1:11" x14ac:dyDescent="0.3">
      <c r="B83" s="41"/>
      <c r="C83" s="41"/>
      <c r="D83" s="50"/>
      <c r="E83" s="42"/>
      <c r="F83" s="42"/>
      <c r="G83" s="42"/>
      <c r="H83" s="27"/>
      <c r="I83" s="27"/>
      <c r="J83" s="27"/>
      <c r="K83" s="41"/>
    </row>
    <row r="84" spans="1:11" ht="18" x14ac:dyDescent="0.35">
      <c r="A84" s="53" t="s">
        <v>46</v>
      </c>
      <c r="C84" s="41"/>
      <c r="D84" s="2">
        <v>2012</v>
      </c>
      <c r="E84" s="2">
        <f>D84+1</f>
        <v>2013</v>
      </c>
      <c r="F84" s="2">
        <f>E84+1</f>
        <v>2014</v>
      </c>
      <c r="G84" s="2">
        <f>F84+1</f>
        <v>2015</v>
      </c>
      <c r="H84" s="27"/>
      <c r="I84" s="27"/>
      <c r="J84" s="27"/>
      <c r="K84" s="41"/>
    </row>
    <row r="85" spans="1:11" x14ac:dyDescent="0.3">
      <c r="B85" s="102" t="s">
        <v>50</v>
      </c>
      <c r="C85" s="89"/>
      <c r="D85" s="110">
        <v>0</v>
      </c>
      <c r="E85" s="111">
        <v>0</v>
      </c>
      <c r="F85" s="112">
        <v>0</v>
      </c>
      <c r="G85" s="112">
        <v>0</v>
      </c>
      <c r="H85" s="27"/>
      <c r="I85" s="27"/>
      <c r="J85" s="27"/>
      <c r="K85" s="41"/>
    </row>
    <row r="86" spans="1:11" x14ac:dyDescent="0.3">
      <c r="B86" s="103" t="s">
        <v>38</v>
      </c>
      <c r="C86" s="104"/>
      <c r="D86" s="113">
        <v>0</v>
      </c>
      <c r="E86" s="114">
        <v>0</v>
      </c>
      <c r="F86" s="115">
        <v>0</v>
      </c>
      <c r="G86" s="115">
        <v>0</v>
      </c>
      <c r="H86" s="27"/>
      <c r="I86" s="27"/>
      <c r="J86" s="27"/>
      <c r="K86" s="41"/>
    </row>
    <row r="87" spans="1:11" x14ac:dyDescent="0.3">
      <c r="B87" s="116" t="s">
        <v>52</v>
      </c>
      <c r="C87" s="108"/>
      <c r="D87" s="72">
        <v>0</v>
      </c>
      <c r="E87" s="73">
        <v>0</v>
      </c>
      <c r="F87" s="74">
        <v>0</v>
      </c>
      <c r="G87" s="74">
        <v>0</v>
      </c>
      <c r="H87" s="27"/>
      <c r="I87" s="27"/>
      <c r="J87" s="27"/>
      <c r="K87" s="41"/>
    </row>
    <row r="88" spans="1:11" x14ac:dyDescent="0.3">
      <c r="B88" s="44" t="s">
        <v>53</v>
      </c>
      <c r="D88" s="7">
        <f>SUM(D85:D87)</f>
        <v>0</v>
      </c>
      <c r="E88" s="7">
        <f>SUM(E85:E87)</f>
        <v>0</v>
      </c>
      <c r="F88" s="7">
        <f>SUM(F85:F87)</f>
        <v>0</v>
      </c>
      <c r="G88" s="7">
        <f>SUM(G85:G87)</f>
        <v>0</v>
      </c>
      <c r="H88" s="39"/>
      <c r="I88" s="39"/>
      <c r="J88" s="39"/>
      <c r="K88" s="41"/>
    </row>
    <row r="89" spans="1:11" x14ac:dyDescent="0.3">
      <c r="B89" s="6"/>
      <c r="D89" s="7"/>
      <c r="E89" s="7"/>
      <c r="F89" s="7"/>
      <c r="G89" s="7"/>
      <c r="H89" s="39"/>
      <c r="I89" s="39"/>
      <c r="J89" s="39"/>
      <c r="K89" s="41"/>
    </row>
    <row r="90" spans="1:11" ht="18" x14ac:dyDescent="0.35">
      <c r="A90" s="9" t="s">
        <v>54</v>
      </c>
      <c r="D90" s="2">
        <v>2012</v>
      </c>
      <c r="E90" s="2">
        <f>D90+1</f>
        <v>2013</v>
      </c>
      <c r="F90" s="2">
        <f>E90+1</f>
        <v>2014</v>
      </c>
      <c r="G90" s="2">
        <f>F90+1</f>
        <v>2015</v>
      </c>
      <c r="H90" s="39"/>
      <c r="I90" s="39"/>
      <c r="J90" s="39"/>
      <c r="K90" s="41"/>
    </row>
    <row r="91" spans="1:11" x14ac:dyDescent="0.3">
      <c r="B91" s="102" t="str">
        <f xml:space="preserve"> 'Facility Detail'!$B$465 &amp; " Surplus Applied to " &amp; ( 'Facility Detail'!$B$465 + 1 )</f>
        <v>2012 Surplus Applied to 2013</v>
      </c>
      <c r="C91" s="41"/>
      <c r="D91" s="3"/>
      <c r="E91" s="75">
        <f>D91</f>
        <v>0</v>
      </c>
      <c r="F91" s="164"/>
      <c r="G91" s="77"/>
      <c r="H91" s="39"/>
      <c r="I91" s="39"/>
      <c r="J91" s="39"/>
      <c r="K91" s="41"/>
    </row>
    <row r="92" spans="1:11" x14ac:dyDescent="0.3">
      <c r="B92" s="102" t="str">
        <f xml:space="preserve"> ( 'Facility Detail'!$B$465 + 1 ) &amp; " Surplus Applied to " &amp; ( 'Facility Detail'!$B$465 )</f>
        <v>2013 Surplus Applied to 2012</v>
      </c>
      <c r="C92" s="41"/>
      <c r="D92" s="165">
        <f>E92</f>
        <v>0</v>
      </c>
      <c r="E92" s="10"/>
      <c r="F92" s="96"/>
      <c r="G92" s="95"/>
      <c r="H92" s="39"/>
      <c r="I92" s="39"/>
      <c r="J92" s="39"/>
      <c r="K92" s="41"/>
    </row>
    <row r="93" spans="1:11" x14ac:dyDescent="0.3">
      <c r="B93" s="102" t="str">
        <f xml:space="preserve"> ( 'Facility Detail'!$B$465 + 1 ) &amp; " Surplus Applied to " &amp; ( 'Facility Detail'!$B$465 + 2 )</f>
        <v>2013 Surplus Applied to 2014</v>
      </c>
      <c r="C93" s="41"/>
      <c r="D93" s="78"/>
      <c r="E93" s="10"/>
      <c r="F93" s="88">
        <f>E93</f>
        <v>0</v>
      </c>
      <c r="G93" s="95"/>
      <c r="H93" s="39"/>
      <c r="I93" s="39"/>
      <c r="J93" s="39"/>
      <c r="K93" s="41"/>
    </row>
    <row r="94" spans="1:11" x14ac:dyDescent="0.3">
      <c r="B94" s="102" t="str">
        <f xml:space="preserve"> ( 'Facility Detail'!$B$465 + 2 ) &amp; " Surplus Applied to " &amp; ( 'Facility Detail'!$B$465 + 1 )</f>
        <v>2014 Surplus Applied to 2013</v>
      </c>
      <c r="C94" s="41"/>
      <c r="D94" s="78"/>
      <c r="E94" s="88">
        <f>F94</f>
        <v>0</v>
      </c>
      <c r="F94" s="10"/>
      <c r="G94" s="95"/>
      <c r="H94" s="39"/>
      <c r="I94" s="39"/>
      <c r="J94" s="39"/>
      <c r="K94" s="41"/>
    </row>
    <row r="95" spans="1:11" x14ac:dyDescent="0.3">
      <c r="B95" s="102" t="str">
        <f xml:space="preserve"> ( 'Facility Detail'!$B$465 + 2 ) &amp; " Surplus Applied to " &amp; ( 'Facility Detail'!$B$465 + 3 )</f>
        <v>2014 Surplus Applied to 2015</v>
      </c>
      <c r="C95" s="41"/>
      <c r="D95" s="78"/>
      <c r="E95" s="96"/>
      <c r="F95" s="10"/>
      <c r="G95" s="166">
        <f>F95</f>
        <v>0</v>
      </c>
      <c r="H95" s="39"/>
      <c r="I95" s="39"/>
      <c r="J95" s="39"/>
      <c r="K95" s="41"/>
    </row>
    <row r="96" spans="1:11" x14ac:dyDescent="0.3">
      <c r="B96" s="102" t="str">
        <f xml:space="preserve"> ( 'Facility Detail'!$B$465 +3 ) &amp; " Surplus Applied to " &amp; ( 'Facility Detail'!$B$465 + 2 )</f>
        <v>2015 Surplus Applied to 2014</v>
      </c>
      <c r="C96" s="41"/>
      <c r="D96" s="79"/>
      <c r="E96" s="97"/>
      <c r="F96" s="76">
        <f>G96</f>
        <v>0</v>
      </c>
      <c r="G96" s="167"/>
      <c r="H96" s="39"/>
      <c r="I96" s="39"/>
      <c r="J96" s="39"/>
      <c r="K96" s="41"/>
    </row>
    <row r="97" spans="1:11" x14ac:dyDescent="0.3">
      <c r="B97" s="44" t="s">
        <v>34</v>
      </c>
      <c r="D97" s="7">
        <f xml:space="preserve"> D92 - D91</f>
        <v>0</v>
      </c>
      <c r="E97" s="7">
        <f xml:space="preserve"> E91 + E94 - E93 - E92</f>
        <v>0</v>
      </c>
      <c r="F97" s="7">
        <f>F93+F96-F94-F95</f>
        <v>0</v>
      </c>
      <c r="G97" s="7">
        <f>G95-G96</f>
        <v>0</v>
      </c>
      <c r="H97" s="39"/>
      <c r="I97" s="39"/>
      <c r="J97" s="39"/>
      <c r="K97" s="41"/>
    </row>
    <row r="98" spans="1:11" x14ac:dyDescent="0.3">
      <c r="B98" s="6"/>
      <c r="D98" s="7"/>
      <c r="E98" s="7"/>
      <c r="F98" s="7"/>
      <c r="G98" s="7"/>
      <c r="H98" s="39"/>
      <c r="I98" s="39"/>
      <c r="J98" s="39"/>
      <c r="K98" s="41"/>
    </row>
    <row r="99" spans="1:11" x14ac:dyDescent="0.3">
      <c r="B99" s="109" t="s">
        <v>30</v>
      </c>
      <c r="C99" s="89"/>
      <c r="D99" s="125"/>
      <c r="E99" s="126"/>
      <c r="F99" s="127"/>
      <c r="G99" s="127"/>
      <c r="H99" s="39"/>
      <c r="I99" s="39"/>
      <c r="J99" s="39"/>
      <c r="K99" s="41"/>
    </row>
    <row r="100" spans="1:11" x14ac:dyDescent="0.3">
      <c r="B100" s="6"/>
      <c r="D100" s="7"/>
      <c r="E100" s="7"/>
      <c r="F100" s="7"/>
      <c r="G100" s="7"/>
      <c r="H100" s="39"/>
      <c r="I100" s="39"/>
      <c r="J100" s="39"/>
      <c r="K100" s="41"/>
    </row>
    <row r="101" spans="1:11" ht="15.6" x14ac:dyDescent="0.3">
      <c r="A101" s="105" t="s">
        <v>42</v>
      </c>
      <c r="C101" s="89"/>
      <c r="D101" s="57">
        <f xml:space="preserve"> D77 + D82 - D88 + D97 + D99</f>
        <v>4862</v>
      </c>
      <c r="E101" s="58">
        <f xml:space="preserve"> E77 + E82 - E88 + E97 + E99</f>
        <v>4862.043486025068</v>
      </c>
      <c r="F101" s="59">
        <f xml:space="preserve"> F77 + F82 - F88 + F97 + F99</f>
        <v>4862.043486025068</v>
      </c>
      <c r="G101" s="59">
        <f xml:space="preserve"> G77 + G82 - G88 + G97 + G99</f>
        <v>4862.043486025068</v>
      </c>
      <c r="H101" s="39"/>
      <c r="I101" s="39"/>
      <c r="J101" s="39"/>
      <c r="K101" s="41"/>
    </row>
    <row r="102" spans="1:11" x14ac:dyDescent="0.3">
      <c r="B102" s="6"/>
      <c r="D102" s="7"/>
      <c r="E102" s="7"/>
      <c r="F102" s="7"/>
      <c r="G102" s="39"/>
      <c r="H102" s="39"/>
      <c r="I102" s="39"/>
      <c r="J102" s="39"/>
      <c r="K102" s="41"/>
    </row>
    <row r="103" spans="1:11" ht="15" thickBot="1" x14ac:dyDescent="0.35">
      <c r="H103" s="41"/>
      <c r="I103" s="41"/>
      <c r="J103" s="41"/>
      <c r="K103" s="41"/>
    </row>
    <row r="104" spans="1:11" x14ac:dyDescent="0.3">
      <c r="A104" s="8"/>
      <c r="B104" s="8"/>
      <c r="C104" s="8"/>
      <c r="D104" s="8"/>
      <c r="E104" s="8"/>
      <c r="F104" s="8"/>
      <c r="G104" s="8"/>
      <c r="H104" s="41"/>
      <c r="I104" s="41"/>
      <c r="J104" s="41"/>
      <c r="K104" s="41"/>
    </row>
    <row r="105" spans="1:11" x14ac:dyDescent="0.3">
      <c r="B105" s="41"/>
      <c r="C105" s="41"/>
      <c r="D105" s="41"/>
      <c r="E105" s="41"/>
      <c r="F105" s="41"/>
      <c r="G105" s="41"/>
      <c r="H105" s="41"/>
      <c r="I105" s="41"/>
      <c r="J105" s="41"/>
      <c r="K105" s="41"/>
    </row>
    <row r="106" spans="1:11" ht="21" x14ac:dyDescent="0.4">
      <c r="A106" s="16" t="s">
        <v>4</v>
      </c>
      <c r="B106" s="16"/>
      <c r="C106" s="54" t="str">
        <f>B4</f>
        <v>Cabinet Gorge #2</v>
      </c>
      <c r="D106" s="55"/>
      <c r="E106" s="26"/>
      <c r="F106" s="26"/>
      <c r="I106" s="41"/>
      <c r="J106" s="41"/>
      <c r="K106" s="41"/>
    </row>
    <row r="107" spans="1:11" x14ac:dyDescent="0.3">
      <c r="I107" s="41"/>
      <c r="J107" s="41"/>
      <c r="K107" s="41"/>
    </row>
    <row r="108" spans="1:11" ht="18" x14ac:dyDescent="0.35">
      <c r="A108" s="9" t="s">
        <v>36</v>
      </c>
      <c r="B108" s="9"/>
      <c r="D108" s="2">
        <v>2012</v>
      </c>
      <c r="E108" s="2">
        <f>D108+1</f>
        <v>2013</v>
      </c>
      <c r="F108" s="2">
        <f>E108+1</f>
        <v>2014</v>
      </c>
      <c r="G108" s="2">
        <f>F108+1</f>
        <v>2015</v>
      </c>
      <c r="H108" s="28"/>
      <c r="I108" s="28"/>
      <c r="J108" s="28"/>
      <c r="K108" s="41"/>
    </row>
    <row r="109" spans="1:11" x14ac:dyDescent="0.3">
      <c r="B109" s="102" t="str">
        <f>"Total MWh Produced / Purchased from " &amp; C106</f>
        <v>Total MWh Produced / Purchased from Cabinet Gorge #2</v>
      </c>
      <c r="C109" s="89"/>
      <c r="D109" s="3">
        <v>29008</v>
      </c>
      <c r="E109" s="4">
        <v>29008.28461994743</v>
      </c>
      <c r="F109" s="5">
        <v>29008.28461994743</v>
      </c>
      <c r="G109" s="5">
        <v>29008.28461994743</v>
      </c>
      <c r="H109" s="27"/>
      <c r="I109" s="27"/>
      <c r="J109" s="27"/>
      <c r="K109" s="41"/>
    </row>
    <row r="110" spans="1:11" x14ac:dyDescent="0.3">
      <c r="B110" s="102" t="s">
        <v>41</v>
      </c>
      <c r="C110" s="89"/>
      <c r="D110" s="69">
        <v>1</v>
      </c>
      <c r="E110" s="70">
        <v>1</v>
      </c>
      <c r="F110" s="71">
        <v>1</v>
      </c>
      <c r="G110" s="71">
        <v>1</v>
      </c>
      <c r="H110" s="27"/>
      <c r="I110" s="27"/>
      <c r="J110" s="27"/>
      <c r="K110" s="41"/>
    </row>
    <row r="111" spans="1:11" x14ac:dyDescent="0.3">
      <c r="B111" s="102" t="s">
        <v>35</v>
      </c>
      <c r="C111" s="89"/>
      <c r="D111" s="62">
        <v>1</v>
      </c>
      <c r="E111" s="63">
        <v>1</v>
      </c>
      <c r="F111" s="64">
        <v>1</v>
      </c>
      <c r="G111" s="64">
        <v>1</v>
      </c>
      <c r="H111" s="27"/>
      <c r="I111" s="27"/>
      <c r="J111" s="27"/>
      <c r="K111" s="41"/>
    </row>
    <row r="112" spans="1:11" x14ac:dyDescent="0.3">
      <c r="B112" s="99" t="s">
        <v>37</v>
      </c>
      <c r="C112" s="100"/>
      <c r="D112" s="49">
        <f xml:space="preserve"> D109 * D110 * D111</f>
        <v>29008</v>
      </c>
      <c r="E112" s="49">
        <f xml:space="preserve"> E109 * E110 * E111</f>
        <v>29008.28461994743</v>
      </c>
      <c r="F112" s="49">
        <f xml:space="preserve"> F109 * F110 * F111</f>
        <v>29008.28461994743</v>
      </c>
      <c r="G112" s="49">
        <f xml:space="preserve"> G109 * G110 * G111</f>
        <v>29008.28461994743</v>
      </c>
      <c r="H112" s="27"/>
      <c r="I112" s="27"/>
      <c r="J112" s="27"/>
      <c r="K112" s="41"/>
    </row>
    <row r="113" spans="1:11" x14ac:dyDescent="0.3">
      <c r="B113" s="26"/>
      <c r="C113" s="41"/>
      <c r="D113" s="48"/>
      <c r="E113" s="48"/>
      <c r="F113" s="48"/>
      <c r="G113" s="48"/>
      <c r="H113" s="27"/>
      <c r="I113" s="27"/>
      <c r="J113" s="27"/>
      <c r="K113" s="41"/>
    </row>
    <row r="114" spans="1:11" ht="18" x14ac:dyDescent="0.35">
      <c r="A114" s="56" t="s">
        <v>39</v>
      </c>
      <c r="C114" s="41"/>
      <c r="D114" s="2">
        <v>2012</v>
      </c>
      <c r="E114" s="2">
        <f>D114+1</f>
        <v>2013</v>
      </c>
      <c r="F114" s="2">
        <f>E114+1</f>
        <v>2014</v>
      </c>
      <c r="G114" s="2">
        <f>F114+1</f>
        <v>2015</v>
      </c>
      <c r="H114" s="27"/>
      <c r="I114" s="27"/>
      <c r="J114" s="27"/>
      <c r="K114" s="41"/>
    </row>
    <row r="115" spans="1:11" x14ac:dyDescent="0.3">
      <c r="B115" s="102" t="s">
        <v>28</v>
      </c>
      <c r="C115" s="89"/>
      <c r="D115" s="65">
        <f>IF( $E4 = "Eligible", D112 * 'Facility Detail'!$B$462, 0 )</f>
        <v>0</v>
      </c>
      <c r="E115" s="13">
        <f>IF( $E4 = "Eligible", E112 * 'Facility Detail'!$B$462, 0 )</f>
        <v>0</v>
      </c>
      <c r="F115" s="14">
        <f>IF( $E4 = "Eligible", F112 * 'Facility Detail'!$B$462, 0 )</f>
        <v>0</v>
      </c>
      <c r="G115" s="14">
        <f>IF( $E4 = "Eligible", G112 * 'Facility Detail'!$B$462, 0 )</f>
        <v>0</v>
      </c>
      <c r="H115" s="27"/>
      <c r="I115" s="27"/>
      <c r="J115" s="27"/>
      <c r="K115" s="41"/>
    </row>
    <row r="116" spans="1:11" x14ac:dyDescent="0.3">
      <c r="B116" s="102" t="s">
        <v>6</v>
      </c>
      <c r="C116" s="89"/>
      <c r="D116" s="66">
        <f>IF( $F4 = "Eligible", D112, 0 )</f>
        <v>0</v>
      </c>
      <c r="E116" s="67">
        <f>IF( $F4 = "Eligible", E112, 0 )</f>
        <v>0</v>
      </c>
      <c r="F116" s="68">
        <f>IF( $F4 = "Eligible", F112, 0 )</f>
        <v>0</v>
      </c>
      <c r="G116" s="68">
        <f>IF( $F4 = "Eligible", G112, 0 )</f>
        <v>0</v>
      </c>
      <c r="H116" s="27"/>
      <c r="I116" s="27"/>
      <c r="J116" s="27"/>
      <c r="K116" s="41"/>
    </row>
    <row r="117" spans="1:11" x14ac:dyDescent="0.3">
      <c r="B117" s="101" t="s">
        <v>48</v>
      </c>
      <c r="C117" s="100"/>
      <c r="D117" s="51">
        <f>SUM(D115:D116)</f>
        <v>0</v>
      </c>
      <c r="E117" s="52">
        <f>SUM(E115:E116)</f>
        <v>0</v>
      </c>
      <c r="F117" s="52">
        <f>SUM(F115:F116)</f>
        <v>0</v>
      </c>
      <c r="G117" s="52">
        <f>SUM(G115:G116)</f>
        <v>0</v>
      </c>
      <c r="H117" s="27"/>
      <c r="I117" s="27"/>
      <c r="J117" s="27"/>
      <c r="K117" s="41"/>
    </row>
    <row r="118" spans="1:11" x14ac:dyDescent="0.3">
      <c r="B118" s="41"/>
      <c r="C118" s="41"/>
      <c r="D118" s="50"/>
      <c r="E118" s="42"/>
      <c r="F118" s="42"/>
      <c r="G118" s="42"/>
      <c r="H118" s="27"/>
      <c r="I118" s="27"/>
      <c r="J118" s="27"/>
      <c r="K118" s="41"/>
    </row>
    <row r="119" spans="1:11" ht="18" x14ac:dyDescent="0.35">
      <c r="A119" s="53" t="s">
        <v>46</v>
      </c>
      <c r="C119" s="41"/>
      <c r="D119" s="2">
        <v>2012</v>
      </c>
      <c r="E119" s="2">
        <f>D119+1</f>
        <v>2013</v>
      </c>
      <c r="F119" s="2">
        <f>E119+1</f>
        <v>2014</v>
      </c>
      <c r="G119" s="2">
        <f>F119+1</f>
        <v>2015</v>
      </c>
      <c r="H119" s="27"/>
      <c r="I119" s="27"/>
      <c r="J119" s="27"/>
      <c r="K119" s="41"/>
    </row>
    <row r="120" spans="1:11" x14ac:dyDescent="0.3">
      <c r="B120" s="102" t="s">
        <v>50</v>
      </c>
      <c r="C120" s="89"/>
      <c r="D120" s="110">
        <v>0</v>
      </c>
      <c r="E120" s="111">
        <v>0</v>
      </c>
      <c r="F120" s="112">
        <v>0</v>
      </c>
      <c r="G120" s="112">
        <v>0</v>
      </c>
      <c r="H120" s="27"/>
      <c r="I120" s="27"/>
      <c r="J120" s="27"/>
      <c r="K120" s="41"/>
    </row>
    <row r="121" spans="1:11" x14ac:dyDescent="0.3">
      <c r="B121" s="103" t="s">
        <v>38</v>
      </c>
      <c r="C121" s="104"/>
      <c r="D121" s="113">
        <v>0</v>
      </c>
      <c r="E121" s="114">
        <v>0</v>
      </c>
      <c r="F121" s="115">
        <v>0</v>
      </c>
      <c r="G121" s="115">
        <v>0</v>
      </c>
      <c r="H121" s="27"/>
      <c r="I121" s="27"/>
      <c r="J121" s="27"/>
      <c r="K121" s="41"/>
    </row>
    <row r="122" spans="1:11" x14ac:dyDescent="0.3">
      <c r="B122" s="116" t="s">
        <v>52</v>
      </c>
      <c r="C122" s="108"/>
      <c r="D122" s="72">
        <v>0</v>
      </c>
      <c r="E122" s="73">
        <v>0</v>
      </c>
      <c r="F122" s="74">
        <v>0</v>
      </c>
      <c r="G122" s="74">
        <v>0</v>
      </c>
      <c r="H122" s="27"/>
      <c r="I122" s="27"/>
      <c r="J122" s="27"/>
      <c r="K122" s="41"/>
    </row>
    <row r="123" spans="1:11" x14ac:dyDescent="0.3">
      <c r="B123" s="44" t="s">
        <v>53</v>
      </c>
      <c r="D123" s="7">
        <f>SUM(D120:D122)</f>
        <v>0</v>
      </c>
      <c r="E123" s="7">
        <f>SUM(E120:E122)</f>
        <v>0</v>
      </c>
      <c r="F123" s="7">
        <f>SUM(F120:F122)</f>
        <v>0</v>
      </c>
      <c r="G123" s="7">
        <f>SUM(G120:G122)</f>
        <v>0</v>
      </c>
      <c r="H123" s="39"/>
      <c r="I123" s="39"/>
      <c r="J123" s="39"/>
      <c r="K123" s="41"/>
    </row>
    <row r="124" spans="1:11" x14ac:dyDescent="0.3">
      <c r="B124" s="6"/>
      <c r="D124" s="7"/>
      <c r="E124" s="7"/>
      <c r="F124" s="7"/>
      <c r="G124" s="7"/>
      <c r="H124" s="39"/>
      <c r="I124" s="39"/>
      <c r="J124" s="39"/>
      <c r="K124" s="41"/>
    </row>
    <row r="125" spans="1:11" ht="18" x14ac:dyDescent="0.35">
      <c r="A125" s="9" t="s">
        <v>54</v>
      </c>
      <c r="D125" s="2">
        <v>2012</v>
      </c>
      <c r="E125" s="2">
        <f>D125+1</f>
        <v>2013</v>
      </c>
      <c r="F125" s="2">
        <f>E125+1</f>
        <v>2014</v>
      </c>
      <c r="G125" s="2">
        <f>F125+1</f>
        <v>2015</v>
      </c>
      <c r="H125" s="39"/>
      <c r="I125" s="39"/>
      <c r="J125" s="39"/>
      <c r="K125" s="41"/>
    </row>
    <row r="126" spans="1:11" x14ac:dyDescent="0.3">
      <c r="B126" s="102" t="str">
        <f xml:space="preserve"> 'Facility Detail'!$B$465 &amp; " Surplus Applied to " &amp; ( 'Facility Detail'!$B$465 + 1 )</f>
        <v>2012 Surplus Applied to 2013</v>
      </c>
      <c r="C126" s="89"/>
      <c r="D126" s="3"/>
      <c r="E126" s="75">
        <f>D126</f>
        <v>0</v>
      </c>
      <c r="F126" s="164"/>
      <c r="G126" s="77"/>
      <c r="H126" s="39"/>
      <c r="I126" s="39"/>
      <c r="J126" s="39"/>
      <c r="K126" s="41"/>
    </row>
    <row r="127" spans="1:11" x14ac:dyDescent="0.3">
      <c r="B127" s="102" t="str">
        <f xml:space="preserve"> ( 'Facility Detail'!$B$465 + 1 ) &amp; " Surplus Applied to " &amp; ( 'Facility Detail'!$B$465 )</f>
        <v>2013 Surplus Applied to 2012</v>
      </c>
      <c r="C127" s="89"/>
      <c r="D127" s="165">
        <f>E127</f>
        <v>0</v>
      </c>
      <c r="E127" s="10"/>
      <c r="F127" s="96"/>
      <c r="G127" s="95"/>
      <c r="H127" s="39"/>
      <c r="I127" s="39"/>
      <c r="J127" s="39"/>
      <c r="K127" s="41"/>
    </row>
    <row r="128" spans="1:11" x14ac:dyDescent="0.3">
      <c r="B128" s="102" t="str">
        <f xml:space="preserve"> ( 'Facility Detail'!$B$465 + 1 ) &amp; " Surplus Applied to " &amp; ( 'Facility Detail'!$B$465 + 2 )</f>
        <v>2013 Surplus Applied to 2014</v>
      </c>
      <c r="C128" s="89"/>
      <c r="D128" s="78"/>
      <c r="E128" s="10"/>
      <c r="F128" s="88">
        <f>E128</f>
        <v>0</v>
      </c>
      <c r="G128" s="95"/>
      <c r="H128" s="39"/>
      <c r="I128" s="39"/>
      <c r="J128" s="39"/>
      <c r="K128" s="41"/>
    </row>
    <row r="129" spans="1:11" x14ac:dyDescent="0.3">
      <c r="B129" s="102" t="str">
        <f xml:space="preserve"> ( 'Facility Detail'!$B$465 + 2 ) &amp; " Surplus Applied to " &amp; ( 'Facility Detail'!$B$465 + 1 )</f>
        <v>2014 Surplus Applied to 2013</v>
      </c>
      <c r="C129" s="89"/>
      <c r="D129" s="78"/>
      <c r="E129" s="88">
        <f>F129</f>
        <v>0</v>
      </c>
      <c r="F129" s="10"/>
      <c r="G129" s="95"/>
      <c r="H129" s="39"/>
      <c r="I129" s="39"/>
      <c r="J129" s="39"/>
      <c r="K129" s="41"/>
    </row>
    <row r="130" spans="1:11" x14ac:dyDescent="0.3">
      <c r="B130" s="102" t="str">
        <f xml:space="preserve"> ( 'Facility Detail'!$B$465 + 2 ) &amp; " Surplus Applied to " &amp; ( 'Facility Detail'!$B$465 + 3 )</f>
        <v>2014 Surplus Applied to 2015</v>
      </c>
      <c r="C130" s="41"/>
      <c r="D130" s="78"/>
      <c r="E130" s="96"/>
      <c r="F130" s="10"/>
      <c r="G130" s="166">
        <f>F130</f>
        <v>0</v>
      </c>
      <c r="H130" s="39"/>
      <c r="I130" s="39"/>
      <c r="J130" s="39"/>
      <c r="K130" s="41"/>
    </row>
    <row r="131" spans="1:11" x14ac:dyDescent="0.3">
      <c r="B131" s="102" t="str">
        <f xml:space="preserve"> ( 'Facility Detail'!$B$465 +3 ) &amp; " Surplus Applied to " &amp; ( 'Facility Detail'!$B$465 + 2 )</f>
        <v>2015 Surplus Applied to 2014</v>
      </c>
      <c r="C131" s="41"/>
      <c r="D131" s="79"/>
      <c r="E131" s="97"/>
      <c r="F131" s="76">
        <f>G131</f>
        <v>0</v>
      </c>
      <c r="G131" s="167"/>
      <c r="H131" s="39"/>
      <c r="I131" s="39"/>
      <c r="J131" s="39"/>
      <c r="K131" s="41"/>
    </row>
    <row r="132" spans="1:11" x14ac:dyDescent="0.3">
      <c r="B132" s="44" t="s">
        <v>34</v>
      </c>
      <c r="D132" s="7">
        <f xml:space="preserve"> D127 - D126</f>
        <v>0</v>
      </c>
      <c r="E132" s="7">
        <f xml:space="preserve"> E126 + E129 - E128 - E127</f>
        <v>0</v>
      </c>
      <c r="F132" s="7">
        <f>F128+F131-F129-F130</f>
        <v>0</v>
      </c>
      <c r="G132" s="7">
        <f>G130-G131</f>
        <v>0</v>
      </c>
      <c r="H132" s="39"/>
      <c r="I132" s="39"/>
      <c r="J132" s="39"/>
      <c r="K132" s="41"/>
    </row>
    <row r="133" spans="1:11" x14ac:dyDescent="0.3">
      <c r="B133" s="6"/>
      <c r="D133" s="7"/>
      <c r="E133" s="7"/>
      <c r="F133" s="7"/>
      <c r="G133" s="7"/>
      <c r="H133" s="39"/>
      <c r="I133" s="39"/>
      <c r="J133" s="39"/>
      <c r="K133" s="41"/>
    </row>
    <row r="134" spans="1:11" x14ac:dyDescent="0.3">
      <c r="B134" s="109" t="s">
        <v>30</v>
      </c>
      <c r="C134" s="89"/>
      <c r="D134" s="125"/>
      <c r="E134" s="126"/>
      <c r="F134" s="127"/>
      <c r="G134" s="127"/>
      <c r="H134" s="39"/>
      <c r="I134" s="39"/>
      <c r="J134" s="39"/>
      <c r="K134" s="41"/>
    </row>
    <row r="135" spans="1:11" x14ac:dyDescent="0.3">
      <c r="B135" s="6"/>
      <c r="D135" s="7"/>
      <c r="E135" s="7"/>
      <c r="F135" s="7"/>
      <c r="G135" s="7"/>
      <c r="H135" s="39"/>
      <c r="I135" s="39"/>
      <c r="J135" s="39"/>
      <c r="K135" s="41"/>
    </row>
    <row r="136" spans="1:11" ht="15.6" x14ac:dyDescent="0.3">
      <c r="A136" s="105" t="s">
        <v>42</v>
      </c>
      <c r="C136" s="89"/>
      <c r="D136" s="57">
        <f xml:space="preserve"> D112 + D117 - D123 + D132 + D134</f>
        <v>29008</v>
      </c>
      <c r="E136" s="58">
        <f xml:space="preserve"> E112 + E117 - E123 + E132 + E134</f>
        <v>29008.28461994743</v>
      </c>
      <c r="F136" s="59">
        <f xml:space="preserve"> F112 + F117 - F123 + F132 + F134</f>
        <v>29008.28461994743</v>
      </c>
      <c r="G136" s="59">
        <f xml:space="preserve"> G112 + G117 - G123 + G132 + G134</f>
        <v>29008.28461994743</v>
      </c>
      <c r="H136" s="39"/>
      <c r="I136" s="39"/>
      <c r="J136" s="39"/>
      <c r="K136" s="41"/>
    </row>
    <row r="137" spans="1:11" x14ac:dyDescent="0.3">
      <c r="B137" s="6"/>
      <c r="D137" s="7"/>
      <c r="E137" s="7"/>
      <c r="F137" s="7"/>
      <c r="G137" s="39"/>
      <c r="H137" s="39"/>
      <c r="I137" s="39"/>
      <c r="J137" s="39"/>
      <c r="K137" s="41"/>
    </row>
    <row r="138" spans="1:11" ht="15" thickBot="1" x14ac:dyDescent="0.35">
      <c r="H138" s="41"/>
      <c r="I138" s="41"/>
      <c r="J138" s="41"/>
      <c r="K138" s="41"/>
    </row>
    <row r="139" spans="1:11" x14ac:dyDescent="0.3">
      <c r="A139" s="8"/>
      <c r="B139" s="8"/>
      <c r="C139" s="8"/>
      <c r="D139" s="8"/>
      <c r="E139" s="8"/>
      <c r="F139" s="8"/>
      <c r="G139" s="8"/>
      <c r="H139" s="41"/>
      <c r="I139" s="41"/>
      <c r="J139" s="41"/>
      <c r="K139" s="41"/>
    </row>
    <row r="140" spans="1:11" x14ac:dyDescent="0.3">
      <c r="B140" s="41"/>
      <c r="C140" s="41"/>
      <c r="D140" s="41"/>
      <c r="E140" s="41"/>
      <c r="F140" s="41"/>
      <c r="G140" s="41"/>
      <c r="H140" s="41"/>
      <c r="I140" s="41"/>
      <c r="J140" s="41"/>
      <c r="K140" s="41"/>
    </row>
    <row r="141" spans="1:11" ht="21" x14ac:dyDescent="0.4">
      <c r="A141" s="16" t="s">
        <v>4</v>
      </c>
      <c r="B141" s="16"/>
      <c r="C141" s="54" t="str">
        <f>B5</f>
        <v>Cabinet Gorge #3</v>
      </c>
      <c r="D141" s="55"/>
      <c r="E141" s="26"/>
      <c r="F141" s="26"/>
      <c r="I141" s="41"/>
      <c r="J141" s="41"/>
      <c r="K141" s="41"/>
    </row>
    <row r="142" spans="1:11" x14ac:dyDescent="0.3">
      <c r="I142" s="41"/>
      <c r="J142" s="41"/>
      <c r="K142" s="41"/>
    </row>
    <row r="143" spans="1:11" ht="18" x14ac:dyDescent="0.35">
      <c r="A143" s="9" t="s">
        <v>36</v>
      </c>
      <c r="B143" s="9"/>
      <c r="D143" s="2">
        <v>2012</v>
      </c>
      <c r="E143" s="2">
        <f>D143+1</f>
        <v>2013</v>
      </c>
      <c r="F143" s="2">
        <f>E143+1</f>
        <v>2014</v>
      </c>
      <c r="G143" s="2">
        <f>F143+1</f>
        <v>2015</v>
      </c>
      <c r="H143" s="28"/>
      <c r="I143" s="28"/>
      <c r="J143" s="28"/>
      <c r="K143" s="41"/>
    </row>
    <row r="144" spans="1:11" x14ac:dyDescent="0.3">
      <c r="B144" s="102" t="str">
        <f>"Total MWh Produced / Purchased from " &amp; C141</f>
        <v>Total MWh Produced / Purchased from Cabinet Gorge #3</v>
      </c>
      <c r="C144" s="89"/>
      <c r="D144" s="3">
        <v>45808</v>
      </c>
      <c r="E144" s="4">
        <v>45807.517793306077</v>
      </c>
      <c r="F144" s="5">
        <v>45807.517793306077</v>
      </c>
      <c r="G144" s="5">
        <v>45807.517793306077</v>
      </c>
      <c r="H144" s="27"/>
      <c r="I144" s="27"/>
      <c r="J144" s="27"/>
      <c r="K144" s="41"/>
    </row>
    <row r="145" spans="1:11" x14ac:dyDescent="0.3">
      <c r="B145" s="102" t="s">
        <v>41</v>
      </c>
      <c r="C145" s="89"/>
      <c r="D145" s="69">
        <v>1</v>
      </c>
      <c r="E145" s="70">
        <v>1</v>
      </c>
      <c r="F145" s="71">
        <v>1</v>
      </c>
      <c r="G145" s="71">
        <v>1</v>
      </c>
      <c r="H145" s="27"/>
      <c r="I145" s="27"/>
      <c r="J145" s="27"/>
      <c r="K145" s="41"/>
    </row>
    <row r="146" spans="1:11" x14ac:dyDescent="0.3">
      <c r="B146" s="102" t="s">
        <v>35</v>
      </c>
      <c r="C146" s="89"/>
      <c r="D146" s="62">
        <v>1</v>
      </c>
      <c r="E146" s="63">
        <v>1</v>
      </c>
      <c r="F146" s="64">
        <v>1</v>
      </c>
      <c r="G146" s="64">
        <v>1</v>
      </c>
      <c r="H146" s="27"/>
      <c r="I146" s="27"/>
      <c r="J146" s="27"/>
      <c r="K146" s="41"/>
    </row>
    <row r="147" spans="1:11" x14ac:dyDescent="0.3">
      <c r="B147" s="99" t="s">
        <v>37</v>
      </c>
      <c r="C147" s="100"/>
      <c r="D147" s="49">
        <f xml:space="preserve"> D144 * D145 * D146</f>
        <v>45808</v>
      </c>
      <c r="E147" s="49">
        <f xml:space="preserve"> E144 * E145 * E146</f>
        <v>45807.517793306077</v>
      </c>
      <c r="F147" s="49">
        <f xml:space="preserve"> F144 * F145 * F146</f>
        <v>45807.517793306077</v>
      </c>
      <c r="G147" s="49">
        <f xml:space="preserve"> G144 * G145 * G146</f>
        <v>45807.517793306077</v>
      </c>
      <c r="H147" s="27"/>
      <c r="I147" s="27"/>
      <c r="J147" s="27"/>
      <c r="K147" s="41"/>
    </row>
    <row r="148" spans="1:11" x14ac:dyDescent="0.3">
      <c r="B148" s="26"/>
      <c r="C148" s="41"/>
      <c r="D148" s="48"/>
      <c r="E148" s="48"/>
      <c r="F148" s="48"/>
      <c r="G148" s="48"/>
      <c r="H148" s="27"/>
      <c r="I148" s="27"/>
      <c r="J148" s="27"/>
      <c r="K148" s="41"/>
    </row>
    <row r="149" spans="1:11" ht="18" x14ac:dyDescent="0.35">
      <c r="A149" s="56" t="s">
        <v>39</v>
      </c>
      <c r="C149" s="41"/>
      <c r="D149" s="2">
        <v>2012</v>
      </c>
      <c r="E149" s="2">
        <f>D149+1</f>
        <v>2013</v>
      </c>
      <c r="F149" s="2">
        <f>E149+1</f>
        <v>2014</v>
      </c>
      <c r="G149" s="2">
        <f>F149+1</f>
        <v>2015</v>
      </c>
      <c r="H149" s="27"/>
      <c r="I149" s="27"/>
      <c r="J149" s="27"/>
      <c r="K149" s="41"/>
    </row>
    <row r="150" spans="1:11" x14ac:dyDescent="0.3">
      <c r="B150" s="102" t="s">
        <v>28</v>
      </c>
      <c r="C150" s="89"/>
      <c r="D150" s="65">
        <f>IF( $E5 = "Eligible",D147 * 'Facility Detail'!$B$462, 0 )</f>
        <v>0</v>
      </c>
      <c r="E150" s="13">
        <f>IF( $E5 = "Eligible",E147 * 'Facility Detail'!$B$462, 0 )</f>
        <v>0</v>
      </c>
      <c r="F150" s="14">
        <f>IF( $E5 = "Eligible",F147 * 'Facility Detail'!$B$462, 0 )</f>
        <v>0</v>
      </c>
      <c r="G150" s="14">
        <f>IF( $E5 = "Eligible",G147 * 'Facility Detail'!$B$462, 0 )</f>
        <v>0</v>
      </c>
      <c r="H150" s="27"/>
      <c r="I150" s="27"/>
      <c r="J150" s="27"/>
      <c r="K150" s="41"/>
    </row>
    <row r="151" spans="1:11" x14ac:dyDescent="0.3">
      <c r="B151" s="102" t="s">
        <v>6</v>
      </c>
      <c r="C151" s="89"/>
      <c r="D151" s="66">
        <f>IF( $F5 = "Eligible", D147, 0 )</f>
        <v>0</v>
      </c>
      <c r="E151" s="67">
        <f>IF( $F5 = "Eligible", E147, 0 )</f>
        <v>0</v>
      </c>
      <c r="F151" s="68">
        <f>IF( $F5 = "Eligible", F147, 0 )</f>
        <v>0</v>
      </c>
      <c r="G151" s="68">
        <f>IF( $F5 = "Eligible", G147, 0 )</f>
        <v>0</v>
      </c>
      <c r="H151" s="27"/>
      <c r="I151" s="27"/>
      <c r="J151" s="27"/>
      <c r="K151" s="41"/>
    </row>
    <row r="152" spans="1:11" x14ac:dyDescent="0.3">
      <c r="B152" s="101" t="s">
        <v>48</v>
      </c>
      <c r="C152" s="100"/>
      <c r="D152" s="51">
        <f>SUM(D150:D151)</f>
        <v>0</v>
      </c>
      <c r="E152" s="52">
        <f>SUM(E150:E151)</f>
        <v>0</v>
      </c>
      <c r="F152" s="52">
        <f>SUM(F150:F151)</f>
        <v>0</v>
      </c>
      <c r="G152" s="52">
        <f>SUM(G150:G151)</f>
        <v>0</v>
      </c>
      <c r="H152" s="27"/>
      <c r="I152" s="27"/>
      <c r="J152" s="27"/>
      <c r="K152" s="41"/>
    </row>
    <row r="153" spans="1:11" x14ac:dyDescent="0.3">
      <c r="B153" s="41"/>
      <c r="C153" s="41"/>
      <c r="D153" s="50"/>
      <c r="E153" s="42"/>
      <c r="F153" s="42"/>
      <c r="G153" s="42"/>
      <c r="H153" s="27"/>
      <c r="I153" s="27"/>
      <c r="J153" s="27"/>
      <c r="K153" s="41"/>
    </row>
    <row r="154" spans="1:11" ht="18" x14ac:dyDescent="0.35">
      <c r="A154" s="53" t="s">
        <v>46</v>
      </c>
      <c r="C154" s="41"/>
      <c r="D154" s="2">
        <v>2012</v>
      </c>
      <c r="E154" s="2">
        <f>D154+1</f>
        <v>2013</v>
      </c>
      <c r="F154" s="2">
        <f>E154+1</f>
        <v>2014</v>
      </c>
      <c r="G154" s="2">
        <f>F154+1</f>
        <v>2015</v>
      </c>
      <c r="H154" s="27"/>
      <c r="I154" s="27"/>
      <c r="J154" s="27"/>
      <c r="K154" s="41"/>
    </row>
    <row r="155" spans="1:11" x14ac:dyDescent="0.3">
      <c r="B155" s="102" t="s">
        <v>50</v>
      </c>
      <c r="C155" s="89"/>
      <c r="D155" s="110">
        <v>0</v>
      </c>
      <c r="E155" s="111">
        <v>0</v>
      </c>
      <c r="F155" s="112">
        <v>0</v>
      </c>
      <c r="G155" s="112">
        <v>0</v>
      </c>
      <c r="H155" s="27"/>
      <c r="I155" s="27"/>
      <c r="J155" s="27"/>
      <c r="K155" s="41"/>
    </row>
    <row r="156" spans="1:11" x14ac:dyDescent="0.3">
      <c r="B156" s="103" t="s">
        <v>38</v>
      </c>
      <c r="C156" s="104"/>
      <c r="D156" s="113">
        <v>0</v>
      </c>
      <c r="E156" s="114">
        <v>0</v>
      </c>
      <c r="F156" s="115">
        <v>0</v>
      </c>
      <c r="G156" s="115">
        <v>0</v>
      </c>
      <c r="H156" s="27"/>
      <c r="I156" s="27"/>
      <c r="J156" s="27"/>
      <c r="K156" s="41"/>
    </row>
    <row r="157" spans="1:11" x14ac:dyDescent="0.3">
      <c r="B157" s="116" t="s">
        <v>52</v>
      </c>
      <c r="C157" s="108"/>
      <c r="D157" s="72">
        <v>0</v>
      </c>
      <c r="E157" s="73">
        <v>0</v>
      </c>
      <c r="F157" s="74">
        <v>0</v>
      </c>
      <c r="G157" s="74">
        <v>0</v>
      </c>
      <c r="H157" s="27"/>
      <c r="I157" s="27"/>
      <c r="J157" s="27"/>
      <c r="K157" s="41"/>
    </row>
    <row r="158" spans="1:11" x14ac:dyDescent="0.3">
      <c r="B158" s="44" t="s">
        <v>53</v>
      </c>
      <c r="D158" s="7">
        <f>SUM(D155:D157)</f>
        <v>0</v>
      </c>
      <c r="E158" s="7">
        <f>SUM(E155:E157)</f>
        <v>0</v>
      </c>
      <c r="F158" s="7">
        <f>SUM(F155:F157)</f>
        <v>0</v>
      </c>
      <c r="G158" s="7">
        <f>SUM(G155:G157)</f>
        <v>0</v>
      </c>
      <c r="H158" s="39"/>
      <c r="I158" s="39"/>
      <c r="J158" s="39"/>
      <c r="K158" s="41"/>
    </row>
    <row r="159" spans="1:11" x14ac:dyDescent="0.3">
      <c r="B159" s="6"/>
      <c r="D159" s="7"/>
      <c r="E159" s="7"/>
      <c r="F159" s="7"/>
      <c r="G159" s="7"/>
      <c r="H159" s="39"/>
      <c r="I159" s="39"/>
      <c r="J159" s="39"/>
      <c r="K159" s="41"/>
    </row>
    <row r="160" spans="1:11" ht="18" x14ac:dyDescent="0.35">
      <c r="A160" s="9" t="s">
        <v>54</v>
      </c>
      <c r="D160" s="2">
        <v>2012</v>
      </c>
      <c r="E160" s="2">
        <f>D160+1</f>
        <v>2013</v>
      </c>
      <c r="F160" s="2">
        <f>E160+1</f>
        <v>2014</v>
      </c>
      <c r="G160" s="2">
        <f>F160+1</f>
        <v>2015</v>
      </c>
      <c r="H160" s="39"/>
      <c r="I160" s="39"/>
      <c r="J160" s="39"/>
      <c r="K160" s="41"/>
    </row>
    <row r="161" spans="1:11" x14ac:dyDescent="0.3">
      <c r="B161" s="102" t="str">
        <f xml:space="preserve"> 'Facility Detail'!$B$465 &amp; " Surplus Applied to " &amp; ( 'Facility Detail'!$B$465 + 1 )</f>
        <v>2012 Surplus Applied to 2013</v>
      </c>
      <c r="C161" s="41"/>
      <c r="D161" s="3"/>
      <c r="E161" s="75">
        <f>D161</f>
        <v>0</v>
      </c>
      <c r="F161" s="164"/>
      <c r="G161" s="77"/>
      <c r="H161" s="39"/>
      <c r="I161" s="39"/>
      <c r="J161" s="39"/>
      <c r="K161" s="41"/>
    </row>
    <row r="162" spans="1:11" x14ac:dyDescent="0.3">
      <c r="B162" s="102" t="str">
        <f xml:space="preserve"> ( 'Facility Detail'!$B$465 + 1 ) &amp; " Surplus Applied to " &amp; ( 'Facility Detail'!$B$465 )</f>
        <v>2013 Surplus Applied to 2012</v>
      </c>
      <c r="C162" s="41"/>
      <c r="D162" s="165">
        <f>E162</f>
        <v>0</v>
      </c>
      <c r="E162" s="10"/>
      <c r="F162" s="96"/>
      <c r="G162" s="95"/>
      <c r="H162" s="39"/>
      <c r="I162" s="39"/>
      <c r="J162" s="39"/>
      <c r="K162" s="41"/>
    </row>
    <row r="163" spans="1:11" x14ac:dyDescent="0.3">
      <c r="B163" s="102" t="str">
        <f xml:space="preserve"> ( 'Facility Detail'!$B$465 + 1 ) &amp; " Surplus Applied to " &amp; ( 'Facility Detail'!$B$465 + 2 )</f>
        <v>2013 Surplus Applied to 2014</v>
      </c>
      <c r="C163" s="41"/>
      <c r="D163" s="78"/>
      <c r="E163" s="10"/>
      <c r="F163" s="88">
        <f>E163</f>
        <v>0</v>
      </c>
      <c r="G163" s="95"/>
      <c r="H163" s="39"/>
      <c r="I163" s="39"/>
      <c r="J163" s="39"/>
      <c r="K163" s="41"/>
    </row>
    <row r="164" spans="1:11" x14ac:dyDescent="0.3">
      <c r="B164" s="102" t="str">
        <f xml:space="preserve"> ( 'Facility Detail'!$B$465 + 2 ) &amp; " Surplus Applied to " &amp; ( 'Facility Detail'!$B$465 + 1 )</f>
        <v>2014 Surplus Applied to 2013</v>
      </c>
      <c r="C164" s="41"/>
      <c r="D164" s="78"/>
      <c r="E164" s="88">
        <f>F164</f>
        <v>0</v>
      </c>
      <c r="F164" s="10"/>
      <c r="G164" s="95"/>
      <c r="H164" s="39"/>
      <c r="I164" s="39"/>
      <c r="J164" s="39"/>
      <c r="K164" s="41"/>
    </row>
    <row r="165" spans="1:11" x14ac:dyDescent="0.3">
      <c r="B165" s="102" t="str">
        <f xml:space="preserve"> ( 'Facility Detail'!$B$465 + 2 ) &amp; " Surplus Applied to " &amp; ( 'Facility Detail'!$B$465 + 3 )</f>
        <v>2014 Surplus Applied to 2015</v>
      </c>
      <c r="C165" s="41"/>
      <c r="D165" s="78"/>
      <c r="E165" s="96"/>
      <c r="F165" s="10"/>
      <c r="G165" s="166">
        <f>F165</f>
        <v>0</v>
      </c>
      <c r="H165" s="39"/>
      <c r="I165" s="39"/>
      <c r="J165" s="39"/>
      <c r="K165" s="41"/>
    </row>
    <row r="166" spans="1:11" x14ac:dyDescent="0.3">
      <c r="B166" s="102" t="str">
        <f xml:space="preserve"> ( 'Facility Detail'!$B$465 +3 ) &amp; " Surplus Applied to " &amp; ( 'Facility Detail'!$B$465 + 2 )</f>
        <v>2015 Surplus Applied to 2014</v>
      </c>
      <c r="C166" s="41"/>
      <c r="D166" s="79"/>
      <c r="E166" s="97"/>
      <c r="F166" s="76">
        <f>G166</f>
        <v>0</v>
      </c>
      <c r="G166" s="167"/>
      <c r="H166" s="39"/>
      <c r="I166" s="39"/>
      <c r="J166" s="39"/>
      <c r="K166" s="41"/>
    </row>
    <row r="167" spans="1:11" x14ac:dyDescent="0.3">
      <c r="B167" s="44" t="s">
        <v>34</v>
      </c>
      <c r="D167" s="7">
        <f xml:space="preserve"> D162 - D161</f>
        <v>0</v>
      </c>
      <c r="E167" s="7">
        <f xml:space="preserve"> E161 + E164 - E163 - E162</f>
        <v>0</v>
      </c>
      <c r="F167" s="7">
        <f>F163+F166-F164-F165</f>
        <v>0</v>
      </c>
      <c r="G167" s="7">
        <f>G165-G166</f>
        <v>0</v>
      </c>
      <c r="H167" s="39"/>
      <c r="I167" s="39"/>
      <c r="J167" s="39"/>
      <c r="K167" s="41"/>
    </row>
    <row r="168" spans="1:11" x14ac:dyDescent="0.3">
      <c r="B168" s="6"/>
      <c r="D168" s="7"/>
      <c r="E168" s="7"/>
      <c r="F168" s="7"/>
      <c r="G168" s="7"/>
      <c r="H168" s="39"/>
      <c r="I168" s="39"/>
      <c r="J168" s="39"/>
      <c r="K168" s="41"/>
    </row>
    <row r="169" spans="1:11" x14ac:dyDescent="0.3">
      <c r="B169" s="109" t="s">
        <v>30</v>
      </c>
      <c r="C169" s="89"/>
      <c r="D169" s="125"/>
      <c r="E169" s="126"/>
      <c r="F169" s="127"/>
      <c r="G169" s="127"/>
      <c r="H169" s="39"/>
      <c r="I169" s="39"/>
      <c r="J169" s="39"/>
      <c r="K169" s="41"/>
    </row>
    <row r="170" spans="1:11" x14ac:dyDescent="0.3">
      <c r="B170" s="6"/>
      <c r="D170" s="7"/>
      <c r="E170" s="7"/>
      <c r="F170" s="7"/>
      <c r="G170" s="7"/>
      <c r="H170" s="39"/>
      <c r="I170" s="39"/>
      <c r="J170" s="39"/>
      <c r="K170" s="41"/>
    </row>
    <row r="171" spans="1:11" ht="15.6" x14ac:dyDescent="0.3">
      <c r="A171" s="105" t="s">
        <v>42</v>
      </c>
      <c r="C171" s="89"/>
      <c r="D171" s="57">
        <f xml:space="preserve"> D147 + D152 - D158 + D167 + D169</f>
        <v>45808</v>
      </c>
      <c r="E171" s="58">
        <f xml:space="preserve"> E147 + E152 - E158 + E167 + E169</f>
        <v>45807.517793306077</v>
      </c>
      <c r="F171" s="59">
        <f xml:space="preserve"> F147 + F152 - F158 + F167 + F169</f>
        <v>45807.517793306077</v>
      </c>
      <c r="G171" s="59">
        <f xml:space="preserve"> G147 + G152 - G158 + G167 + G169</f>
        <v>45807.517793306077</v>
      </c>
      <c r="H171" s="39"/>
      <c r="I171" s="39"/>
      <c r="J171" s="39"/>
      <c r="K171" s="41"/>
    </row>
    <row r="172" spans="1:11" x14ac:dyDescent="0.3">
      <c r="B172" s="6"/>
      <c r="D172" s="7"/>
      <c r="E172" s="7"/>
      <c r="F172" s="7"/>
      <c r="G172" s="39"/>
      <c r="H172" s="39"/>
      <c r="I172" s="39"/>
      <c r="J172" s="39"/>
      <c r="K172" s="41"/>
    </row>
    <row r="173" spans="1:11" ht="15" thickBot="1" x14ac:dyDescent="0.35">
      <c r="H173" s="41"/>
      <c r="I173" s="41"/>
      <c r="J173" s="41"/>
      <c r="K173" s="41"/>
    </row>
    <row r="174" spans="1:11" x14ac:dyDescent="0.3">
      <c r="A174" s="8"/>
      <c r="B174" s="8"/>
      <c r="C174" s="8"/>
      <c r="D174" s="8"/>
      <c r="E174" s="8"/>
      <c r="F174" s="8"/>
      <c r="G174" s="8"/>
      <c r="H174" s="41"/>
      <c r="I174" s="41"/>
      <c r="J174" s="41"/>
      <c r="K174" s="41"/>
    </row>
    <row r="175" spans="1:11" x14ac:dyDescent="0.3">
      <c r="B175" s="41"/>
      <c r="C175" s="41"/>
      <c r="D175" s="41"/>
      <c r="E175" s="41"/>
      <c r="F175" s="41"/>
      <c r="G175" s="41"/>
      <c r="H175" s="41"/>
      <c r="I175" s="41"/>
      <c r="J175" s="41"/>
      <c r="K175" s="41"/>
    </row>
    <row r="176" spans="1:11" ht="21" x14ac:dyDescent="0.4">
      <c r="A176" s="16" t="s">
        <v>4</v>
      </c>
      <c r="B176" s="16"/>
      <c r="C176" s="54" t="str">
        <f>B6</f>
        <v>Cabinet Gorge #4</v>
      </c>
      <c r="D176" s="55"/>
      <c r="E176" s="26"/>
      <c r="F176" s="26"/>
      <c r="I176" s="41"/>
      <c r="J176" s="41"/>
      <c r="K176" s="41"/>
    </row>
    <row r="177" spans="1:11" x14ac:dyDescent="0.3">
      <c r="I177" s="41"/>
      <c r="J177" s="41"/>
      <c r="K177" s="41"/>
    </row>
    <row r="178" spans="1:11" ht="18" x14ac:dyDescent="0.35">
      <c r="A178" s="9" t="s">
        <v>36</v>
      </c>
      <c r="B178" s="9"/>
      <c r="D178" s="2">
        <v>2012</v>
      </c>
      <c r="E178" s="2">
        <f>D178+1</f>
        <v>2013</v>
      </c>
      <c r="F178" s="2">
        <f>E178+1</f>
        <v>2014</v>
      </c>
      <c r="G178" s="2">
        <f>F178+1</f>
        <v>2015</v>
      </c>
      <c r="H178" s="28"/>
      <c r="I178" s="28"/>
      <c r="J178" s="28"/>
      <c r="K178" s="41"/>
    </row>
    <row r="179" spans="1:11" x14ac:dyDescent="0.3">
      <c r="B179" s="102" t="str">
        <f>"Total MWh Produced / Purchased from " &amp; C176</f>
        <v>Total MWh Produced / Purchased from Cabinet Gorge #4</v>
      </c>
      <c r="C179" s="89"/>
      <c r="D179" s="3">
        <v>20517</v>
      </c>
      <c r="E179" s="4">
        <v>20517</v>
      </c>
      <c r="F179" s="5">
        <v>20517</v>
      </c>
      <c r="G179" s="5">
        <v>20517</v>
      </c>
      <c r="H179" s="27"/>
      <c r="I179" s="27"/>
      <c r="J179" s="27"/>
      <c r="K179" s="41"/>
    </row>
    <row r="180" spans="1:11" x14ac:dyDescent="0.3">
      <c r="B180" s="102" t="s">
        <v>41</v>
      </c>
      <c r="C180" s="89"/>
      <c r="D180" s="69">
        <v>1</v>
      </c>
      <c r="E180" s="70">
        <v>1</v>
      </c>
      <c r="F180" s="71">
        <v>1</v>
      </c>
      <c r="G180" s="71">
        <v>1</v>
      </c>
      <c r="H180" s="27"/>
      <c r="I180" s="27"/>
      <c r="J180" s="27"/>
      <c r="K180" s="41"/>
    </row>
    <row r="181" spans="1:11" x14ac:dyDescent="0.3">
      <c r="B181" s="102" t="s">
        <v>35</v>
      </c>
      <c r="C181" s="89"/>
      <c r="D181" s="62">
        <v>1</v>
      </c>
      <c r="E181" s="63">
        <v>1</v>
      </c>
      <c r="F181" s="64">
        <v>1</v>
      </c>
      <c r="G181" s="64">
        <v>1</v>
      </c>
      <c r="H181" s="27"/>
      <c r="I181" s="27"/>
      <c r="J181" s="27"/>
      <c r="K181" s="41"/>
    </row>
    <row r="182" spans="1:11" x14ac:dyDescent="0.3">
      <c r="B182" s="99" t="s">
        <v>37</v>
      </c>
      <c r="C182" s="100"/>
      <c r="D182" s="49">
        <f xml:space="preserve"> D179 * D180 * D181</f>
        <v>20517</v>
      </c>
      <c r="E182" s="49">
        <f xml:space="preserve"> E179 * E180 * E181</f>
        <v>20517</v>
      </c>
      <c r="F182" s="49">
        <f xml:space="preserve"> F179 * F180 * F181</f>
        <v>20517</v>
      </c>
      <c r="G182" s="49">
        <f xml:space="preserve"> G179 * G180 * G181</f>
        <v>20517</v>
      </c>
      <c r="H182" s="27"/>
      <c r="I182" s="27"/>
      <c r="J182" s="27"/>
      <c r="K182" s="41"/>
    </row>
    <row r="183" spans="1:11" x14ac:dyDescent="0.3">
      <c r="B183" s="26"/>
      <c r="C183" s="41"/>
      <c r="D183" s="48"/>
      <c r="E183" s="48"/>
      <c r="F183" s="48"/>
      <c r="G183" s="48"/>
      <c r="H183" s="27"/>
      <c r="I183" s="27"/>
      <c r="J183" s="27"/>
      <c r="K183" s="41"/>
    </row>
    <row r="184" spans="1:11" ht="18" x14ac:dyDescent="0.35">
      <c r="A184" s="56" t="s">
        <v>39</v>
      </c>
      <c r="C184" s="41"/>
      <c r="D184" s="2">
        <v>2012</v>
      </c>
      <c r="E184" s="2">
        <f>D184+1</f>
        <v>2013</v>
      </c>
      <c r="F184" s="2">
        <f>E184+1</f>
        <v>2014</v>
      </c>
      <c r="G184" s="2">
        <f>F184+1</f>
        <v>2015</v>
      </c>
      <c r="H184" s="27"/>
      <c r="I184" s="27"/>
      <c r="J184" s="27"/>
      <c r="K184" s="41"/>
    </row>
    <row r="185" spans="1:11" x14ac:dyDescent="0.3">
      <c r="B185" s="102" t="s">
        <v>28</v>
      </c>
      <c r="C185" s="89"/>
      <c r="D185" s="65">
        <f>IF( $E6 = "Eligible", D182 * 'Facility Detail'!$B$462, 0 )</f>
        <v>0</v>
      </c>
      <c r="E185" s="13">
        <f>IF( $E6 = "Eligible", E182 * 'Facility Detail'!$B$462, 0 )</f>
        <v>0</v>
      </c>
      <c r="F185" s="14">
        <f>IF( $E6 = "Eligible", F182 * 'Facility Detail'!$B$462, 0 )</f>
        <v>0</v>
      </c>
      <c r="G185" s="14">
        <f>IF( $E6 = "Eligible", G182 * 'Facility Detail'!$B$462, 0 )</f>
        <v>0</v>
      </c>
      <c r="H185" s="27"/>
      <c r="I185" s="27"/>
      <c r="J185" s="27"/>
      <c r="K185" s="41"/>
    </row>
    <row r="186" spans="1:11" x14ac:dyDescent="0.3">
      <c r="B186" s="102" t="s">
        <v>6</v>
      </c>
      <c r="C186" s="89"/>
      <c r="D186" s="66">
        <f>IF( $F6 = "Eligible", D182, 0 )</f>
        <v>0</v>
      </c>
      <c r="E186" s="67">
        <f>IF( $F6 = "Eligible", E182, 0 )</f>
        <v>0</v>
      </c>
      <c r="F186" s="68">
        <f>IF( $F6 = "Eligible", F182, 0 )</f>
        <v>0</v>
      </c>
      <c r="G186" s="68">
        <f>IF( $F6 = "Eligible", G182, 0 )</f>
        <v>0</v>
      </c>
      <c r="H186" s="27"/>
      <c r="I186" s="27"/>
      <c r="J186" s="27"/>
      <c r="K186" s="41"/>
    </row>
    <row r="187" spans="1:11" x14ac:dyDescent="0.3">
      <c r="B187" s="101" t="s">
        <v>48</v>
      </c>
      <c r="C187" s="100"/>
      <c r="D187" s="51">
        <f>SUM(D185:D186)</f>
        <v>0</v>
      </c>
      <c r="E187" s="52">
        <f>SUM(E185:E186)</f>
        <v>0</v>
      </c>
      <c r="F187" s="52">
        <f>SUM(F185:F186)</f>
        <v>0</v>
      </c>
      <c r="G187" s="52">
        <f>SUM(G185:G186)</f>
        <v>0</v>
      </c>
      <c r="H187" s="27"/>
      <c r="I187" s="27"/>
      <c r="J187" s="27"/>
      <c r="K187" s="41"/>
    </row>
    <row r="188" spans="1:11" x14ac:dyDescent="0.3">
      <c r="B188" s="41"/>
      <c r="C188" s="41"/>
      <c r="D188" s="50"/>
      <c r="E188" s="42"/>
      <c r="F188" s="42"/>
      <c r="G188" s="42"/>
      <c r="H188" s="27"/>
      <c r="I188" s="27"/>
      <c r="J188" s="27"/>
      <c r="K188" s="41"/>
    </row>
    <row r="189" spans="1:11" ht="18" x14ac:dyDescent="0.35">
      <c r="A189" s="53" t="s">
        <v>46</v>
      </c>
      <c r="C189" s="41"/>
      <c r="D189" s="2">
        <v>2012</v>
      </c>
      <c r="E189" s="2">
        <f>D189+1</f>
        <v>2013</v>
      </c>
      <c r="F189" s="2">
        <f>E189+1</f>
        <v>2014</v>
      </c>
      <c r="G189" s="2">
        <f>F189+1</f>
        <v>2015</v>
      </c>
      <c r="H189" s="27"/>
      <c r="I189" s="27"/>
      <c r="J189" s="27"/>
      <c r="K189" s="41"/>
    </row>
    <row r="190" spans="1:11" x14ac:dyDescent="0.3">
      <c r="B190" s="102" t="s">
        <v>50</v>
      </c>
      <c r="C190" s="89"/>
      <c r="D190" s="110">
        <v>0</v>
      </c>
      <c r="E190" s="111">
        <v>0</v>
      </c>
      <c r="F190" s="112">
        <v>0</v>
      </c>
      <c r="G190" s="112">
        <v>0</v>
      </c>
      <c r="H190" s="27"/>
      <c r="I190" s="27"/>
      <c r="J190" s="27"/>
      <c r="K190" s="41"/>
    </row>
    <row r="191" spans="1:11" x14ac:dyDescent="0.3">
      <c r="B191" s="103" t="s">
        <v>38</v>
      </c>
      <c r="C191" s="104"/>
      <c r="D191" s="113">
        <v>0</v>
      </c>
      <c r="E191" s="114">
        <v>0</v>
      </c>
      <c r="F191" s="115">
        <v>0</v>
      </c>
      <c r="G191" s="115">
        <v>0</v>
      </c>
      <c r="H191" s="27"/>
      <c r="I191" s="27"/>
      <c r="J191" s="27"/>
      <c r="K191" s="41"/>
    </row>
    <row r="192" spans="1:11" x14ac:dyDescent="0.3">
      <c r="B192" s="116" t="s">
        <v>52</v>
      </c>
      <c r="C192" s="108"/>
      <c r="D192" s="72">
        <v>0</v>
      </c>
      <c r="E192" s="73">
        <v>0</v>
      </c>
      <c r="F192" s="74">
        <v>0</v>
      </c>
      <c r="G192" s="74">
        <v>0</v>
      </c>
      <c r="H192" s="27"/>
      <c r="I192" s="27"/>
      <c r="J192" s="27"/>
      <c r="K192" s="41"/>
    </row>
    <row r="193" spans="1:11" x14ac:dyDescent="0.3">
      <c r="B193" s="44" t="s">
        <v>53</v>
      </c>
      <c r="D193" s="7">
        <f>SUM(D190:D192)</f>
        <v>0</v>
      </c>
      <c r="E193" s="7">
        <f>SUM(E190:E192)</f>
        <v>0</v>
      </c>
      <c r="F193" s="7">
        <f>SUM(F190:F192)</f>
        <v>0</v>
      </c>
      <c r="G193" s="7">
        <f>SUM(G190:G192)</f>
        <v>0</v>
      </c>
      <c r="H193" s="39"/>
      <c r="I193" s="39"/>
      <c r="J193" s="39"/>
      <c r="K193" s="41"/>
    </row>
    <row r="194" spans="1:11" x14ac:dyDescent="0.3">
      <c r="B194" s="6"/>
      <c r="D194" s="7"/>
      <c r="E194" s="7"/>
      <c r="F194" s="7"/>
      <c r="G194" s="7"/>
      <c r="H194" s="39"/>
      <c r="I194" s="39"/>
      <c r="J194" s="39"/>
      <c r="K194" s="41"/>
    </row>
    <row r="195" spans="1:11" ht="18" x14ac:dyDescent="0.35">
      <c r="A195" s="9" t="s">
        <v>54</v>
      </c>
      <c r="D195" s="2">
        <v>2012</v>
      </c>
      <c r="E195" s="2">
        <f>D195+1</f>
        <v>2013</v>
      </c>
      <c r="F195" s="2">
        <f>E195+1</f>
        <v>2014</v>
      </c>
      <c r="G195" s="2">
        <f>F195+1</f>
        <v>2015</v>
      </c>
      <c r="H195" s="39"/>
      <c r="I195" s="39"/>
      <c r="J195" s="39"/>
      <c r="K195" s="41"/>
    </row>
    <row r="196" spans="1:11" x14ac:dyDescent="0.3">
      <c r="B196" s="102" t="str">
        <f xml:space="preserve"> 'Facility Detail'!$B$465 &amp; " Surplus Applied to " &amp; ( 'Facility Detail'!$B$465 + 1 )</f>
        <v>2012 Surplus Applied to 2013</v>
      </c>
      <c r="C196" s="89"/>
      <c r="D196" s="3"/>
      <c r="E196" s="75">
        <f>D196</f>
        <v>0</v>
      </c>
      <c r="F196" s="164"/>
      <c r="G196" s="77"/>
      <c r="H196" s="39"/>
      <c r="I196" s="39"/>
      <c r="J196" s="39"/>
      <c r="K196" s="41"/>
    </row>
    <row r="197" spans="1:11" x14ac:dyDescent="0.3">
      <c r="B197" s="102" t="str">
        <f xml:space="preserve"> ( 'Facility Detail'!$B$465 + 1 ) &amp; " Surplus Applied to " &amp; ( 'Facility Detail'!$B$465 )</f>
        <v>2013 Surplus Applied to 2012</v>
      </c>
      <c r="C197" s="89"/>
      <c r="D197" s="165">
        <f>E197</f>
        <v>0</v>
      </c>
      <c r="E197" s="10"/>
      <c r="F197" s="96"/>
      <c r="G197" s="95"/>
      <c r="H197" s="39"/>
      <c r="I197" s="39"/>
      <c r="J197" s="39"/>
      <c r="K197" s="41"/>
    </row>
    <row r="198" spans="1:11" x14ac:dyDescent="0.3">
      <c r="B198" s="102" t="str">
        <f xml:space="preserve"> ( 'Facility Detail'!$B$465 + 1 ) &amp; " Surplus Applied to " &amp; ( 'Facility Detail'!$B$465 + 2 )</f>
        <v>2013 Surplus Applied to 2014</v>
      </c>
      <c r="C198" s="89"/>
      <c r="D198" s="78"/>
      <c r="E198" s="10"/>
      <c r="F198" s="88">
        <f>E198</f>
        <v>0</v>
      </c>
      <c r="G198" s="95"/>
      <c r="H198" s="39"/>
      <c r="I198" s="39"/>
      <c r="J198" s="39"/>
      <c r="K198" s="41"/>
    </row>
    <row r="199" spans="1:11" x14ac:dyDescent="0.3">
      <c r="B199" s="102" t="str">
        <f xml:space="preserve"> ( 'Facility Detail'!$B$465 + 2 ) &amp; " Surplus Applied to " &amp; ( 'Facility Detail'!$B$465 + 1 )</f>
        <v>2014 Surplus Applied to 2013</v>
      </c>
      <c r="C199" s="89"/>
      <c r="D199" s="78"/>
      <c r="E199" s="88">
        <f>F199</f>
        <v>0</v>
      </c>
      <c r="F199" s="10"/>
      <c r="G199" s="95"/>
      <c r="H199" s="39"/>
      <c r="I199" s="39"/>
      <c r="J199" s="39"/>
      <c r="K199" s="41"/>
    </row>
    <row r="200" spans="1:11" x14ac:dyDescent="0.3">
      <c r="B200" s="102" t="str">
        <f xml:space="preserve"> ( 'Facility Detail'!$B$465 + 2 ) &amp; " Surplus Applied to " &amp; ( 'Facility Detail'!$B$465 + 3 )</f>
        <v>2014 Surplus Applied to 2015</v>
      </c>
      <c r="C200" s="41"/>
      <c r="D200" s="78"/>
      <c r="E200" s="96"/>
      <c r="F200" s="10"/>
      <c r="G200" s="166">
        <f>F200</f>
        <v>0</v>
      </c>
      <c r="H200" s="39"/>
      <c r="I200" s="39"/>
      <c r="J200" s="39"/>
      <c r="K200" s="41"/>
    </row>
    <row r="201" spans="1:11" x14ac:dyDescent="0.3">
      <c r="B201" s="102" t="str">
        <f xml:space="preserve"> ( 'Facility Detail'!$B$465 +3 ) &amp; " Surplus Applied to " &amp; ( 'Facility Detail'!$B$465 + 2 )</f>
        <v>2015 Surplus Applied to 2014</v>
      </c>
      <c r="C201" s="41"/>
      <c r="D201" s="79"/>
      <c r="E201" s="97"/>
      <c r="F201" s="76">
        <f>G201</f>
        <v>0</v>
      </c>
      <c r="G201" s="167"/>
      <c r="H201" s="39"/>
      <c r="I201" s="39"/>
      <c r="J201" s="39"/>
      <c r="K201" s="41"/>
    </row>
    <row r="202" spans="1:11" x14ac:dyDescent="0.3">
      <c r="B202" s="44" t="s">
        <v>34</v>
      </c>
      <c r="D202" s="7">
        <f xml:space="preserve"> D197 - D196</f>
        <v>0</v>
      </c>
      <c r="E202" s="7">
        <f xml:space="preserve"> E196 + E199 - E198 - E197</f>
        <v>0</v>
      </c>
      <c r="F202" s="7">
        <f>F198+F201-F199-F200</f>
        <v>0</v>
      </c>
      <c r="G202" s="7">
        <f>G200-G201</f>
        <v>0</v>
      </c>
      <c r="H202" s="39"/>
      <c r="I202" s="39"/>
      <c r="J202" s="39"/>
      <c r="K202" s="41"/>
    </row>
    <row r="203" spans="1:11" x14ac:dyDescent="0.3">
      <c r="B203" s="6"/>
      <c r="D203" s="7"/>
      <c r="E203" s="7"/>
      <c r="F203" s="7"/>
      <c r="G203" s="7"/>
      <c r="H203" s="39"/>
      <c r="I203" s="39"/>
      <c r="J203" s="39"/>
      <c r="K203" s="41"/>
    </row>
    <row r="204" spans="1:11" x14ac:dyDescent="0.3">
      <c r="B204" s="109" t="s">
        <v>30</v>
      </c>
      <c r="C204" s="89"/>
      <c r="D204" s="125"/>
      <c r="E204" s="126"/>
      <c r="F204" s="127"/>
      <c r="G204" s="127"/>
      <c r="H204" s="39"/>
      <c r="I204" s="39"/>
      <c r="J204" s="39"/>
      <c r="K204" s="41"/>
    </row>
    <row r="205" spans="1:11" x14ac:dyDescent="0.3">
      <c r="B205" s="6"/>
      <c r="D205" s="7"/>
      <c r="E205" s="7"/>
      <c r="F205" s="7"/>
      <c r="G205" s="7"/>
      <c r="H205" s="39"/>
      <c r="I205" s="39"/>
      <c r="J205" s="39"/>
      <c r="K205" s="41"/>
    </row>
    <row r="206" spans="1:11" ht="15.6" x14ac:dyDescent="0.3">
      <c r="A206" s="105" t="s">
        <v>42</v>
      </c>
      <c r="C206" s="89"/>
      <c r="D206" s="57">
        <f xml:space="preserve"> D182 + D187 - D193 + D202 + D204</f>
        <v>20517</v>
      </c>
      <c r="E206" s="58">
        <f xml:space="preserve"> E182 + E187 - E193 + E202 + E204</f>
        <v>20517</v>
      </c>
      <c r="F206" s="59">
        <f xml:space="preserve"> F182 + F187 - F193 + F202 + F204</f>
        <v>20517</v>
      </c>
      <c r="G206" s="59">
        <f xml:space="preserve"> G182 + G187 - G193 + G202 + G204</f>
        <v>20517</v>
      </c>
      <c r="H206" s="39"/>
      <c r="I206" s="39"/>
      <c r="J206" s="39"/>
      <c r="K206" s="41"/>
    </row>
    <row r="207" spans="1:11" x14ac:dyDescent="0.3">
      <c r="B207" s="6"/>
      <c r="D207" s="7"/>
      <c r="E207" s="7"/>
      <c r="F207" s="7"/>
      <c r="G207" s="39"/>
      <c r="H207" s="39"/>
      <c r="I207" s="39"/>
      <c r="J207" s="39"/>
      <c r="K207" s="41"/>
    </row>
    <row r="208" spans="1:11" ht="15" thickBot="1" x14ac:dyDescent="0.35">
      <c r="H208" s="41"/>
      <c r="I208" s="41"/>
      <c r="J208" s="41"/>
      <c r="K208" s="41"/>
    </row>
    <row r="209" spans="1:11" x14ac:dyDescent="0.3">
      <c r="A209" s="8"/>
      <c r="B209" s="8"/>
      <c r="C209" s="8"/>
      <c r="D209" s="8"/>
      <c r="E209" s="8"/>
      <c r="F209" s="8"/>
      <c r="G209" s="8"/>
      <c r="H209" s="41"/>
      <c r="I209" s="41"/>
      <c r="J209" s="41"/>
      <c r="K209" s="41"/>
    </row>
    <row r="210" spans="1:11" x14ac:dyDescent="0.3">
      <c r="B210" s="41"/>
      <c r="C210" s="41"/>
      <c r="D210" s="41"/>
      <c r="E210" s="41"/>
      <c r="F210" s="41"/>
      <c r="G210" s="41"/>
      <c r="H210" s="41"/>
      <c r="I210" s="41"/>
      <c r="J210" s="41"/>
      <c r="K210" s="41"/>
    </row>
    <row r="211" spans="1:11" ht="21" x14ac:dyDescent="0.4">
      <c r="A211" s="16" t="s">
        <v>4</v>
      </c>
      <c r="B211" s="16"/>
      <c r="C211" s="54" t="str">
        <f>B7</f>
        <v>Noxon Rapids #1</v>
      </c>
      <c r="D211" s="55"/>
      <c r="E211" s="26"/>
      <c r="F211" s="26"/>
      <c r="I211" s="41"/>
      <c r="J211" s="41"/>
      <c r="K211" s="41"/>
    </row>
    <row r="212" spans="1:11" x14ac:dyDescent="0.3">
      <c r="I212" s="41"/>
      <c r="J212" s="41"/>
      <c r="K212" s="41"/>
    </row>
    <row r="213" spans="1:11" ht="18" x14ac:dyDescent="0.35">
      <c r="A213" s="9" t="s">
        <v>36</v>
      </c>
      <c r="B213" s="9"/>
      <c r="D213" s="2">
        <v>2012</v>
      </c>
      <c r="E213" s="2">
        <f>D213+1</f>
        <v>2013</v>
      </c>
      <c r="F213" s="2">
        <f>E213+1</f>
        <v>2014</v>
      </c>
      <c r="G213" s="2">
        <f>F213+1</f>
        <v>2015</v>
      </c>
      <c r="H213" s="28"/>
      <c r="I213" s="28"/>
      <c r="J213" s="28"/>
      <c r="K213" s="41"/>
    </row>
    <row r="214" spans="1:11" x14ac:dyDescent="0.3">
      <c r="B214" s="102" t="str">
        <f>"Total MWh Produced / Purchased from " &amp; C211</f>
        <v>Total MWh Produced / Purchased from Noxon Rapids #1</v>
      </c>
      <c r="C214" s="89"/>
      <c r="D214" s="3">
        <v>21435</v>
      </c>
      <c r="E214" s="4">
        <v>21435</v>
      </c>
      <c r="F214" s="5">
        <v>21435</v>
      </c>
      <c r="G214" s="5">
        <v>21435</v>
      </c>
      <c r="H214" s="27"/>
      <c r="I214" s="27"/>
      <c r="J214" s="27"/>
      <c r="K214" s="41"/>
    </row>
    <row r="215" spans="1:11" x14ac:dyDescent="0.3">
      <c r="B215" s="102" t="s">
        <v>41</v>
      </c>
      <c r="C215" s="89"/>
      <c r="D215" s="69">
        <v>1</v>
      </c>
      <c r="E215" s="70">
        <v>1</v>
      </c>
      <c r="F215" s="71">
        <v>1</v>
      </c>
      <c r="G215" s="71">
        <v>1</v>
      </c>
      <c r="H215" s="27"/>
      <c r="I215" s="27"/>
      <c r="J215" s="27"/>
      <c r="K215" s="41"/>
    </row>
    <row r="216" spans="1:11" x14ac:dyDescent="0.3">
      <c r="B216" s="102" t="s">
        <v>35</v>
      </c>
      <c r="C216" s="89"/>
      <c r="D216" s="62">
        <v>1</v>
      </c>
      <c r="E216" s="63">
        <v>1</v>
      </c>
      <c r="F216" s="64">
        <v>1</v>
      </c>
      <c r="G216" s="64">
        <v>1</v>
      </c>
      <c r="H216" s="27"/>
      <c r="I216" s="27"/>
      <c r="J216" s="27"/>
      <c r="K216" s="41"/>
    </row>
    <row r="217" spans="1:11" x14ac:dyDescent="0.3">
      <c r="B217" s="99" t="s">
        <v>37</v>
      </c>
      <c r="C217" s="100"/>
      <c r="D217" s="49">
        <f xml:space="preserve"> D214 * D215 * D216</f>
        <v>21435</v>
      </c>
      <c r="E217" s="49">
        <f xml:space="preserve"> E214 * E215 * E216</f>
        <v>21435</v>
      </c>
      <c r="F217" s="49">
        <f xml:space="preserve"> F214 * F215 * F216</f>
        <v>21435</v>
      </c>
      <c r="G217" s="49">
        <f xml:space="preserve"> G214 * G215 * G216</f>
        <v>21435</v>
      </c>
      <c r="H217" s="27"/>
      <c r="I217" s="27"/>
      <c r="J217" s="27"/>
      <c r="K217" s="41"/>
    </row>
    <row r="218" spans="1:11" x14ac:dyDescent="0.3">
      <c r="B218" s="26"/>
      <c r="C218" s="41"/>
      <c r="D218" s="48"/>
      <c r="E218" s="48"/>
      <c r="F218" s="48"/>
      <c r="G218" s="48"/>
      <c r="H218" s="27"/>
      <c r="I218" s="27"/>
      <c r="J218" s="27"/>
      <c r="K218" s="41"/>
    </row>
    <row r="219" spans="1:11" ht="18" x14ac:dyDescent="0.35">
      <c r="A219" s="56" t="s">
        <v>39</v>
      </c>
      <c r="C219" s="41"/>
      <c r="D219" s="2">
        <v>2012</v>
      </c>
      <c r="E219" s="2">
        <f>D219+1</f>
        <v>2013</v>
      </c>
      <c r="F219" s="2">
        <f>E219+1</f>
        <v>2014</v>
      </c>
      <c r="G219" s="2">
        <f>F219+1</f>
        <v>2015</v>
      </c>
      <c r="H219" s="27"/>
      <c r="I219" s="27"/>
      <c r="J219" s="27"/>
      <c r="K219" s="41"/>
    </row>
    <row r="220" spans="1:11" x14ac:dyDescent="0.3">
      <c r="B220" s="102" t="s">
        <v>28</v>
      </c>
      <c r="C220" s="89"/>
      <c r="D220" s="65">
        <f>IF( $E7 = "Eligible", D217 * 'Facility Detail'!$B$462, 0 )</f>
        <v>0</v>
      </c>
      <c r="E220" s="13">
        <f>IF( $E7 = "Eligible", E217 * 'Facility Detail'!$B$462, 0 )</f>
        <v>0</v>
      </c>
      <c r="F220" s="14">
        <f>IF( $E7 = "Eligible", F217 * 'Facility Detail'!$B$462, 0 )</f>
        <v>0</v>
      </c>
      <c r="G220" s="14">
        <f>IF( $E7 = "Eligible", G217 * 'Facility Detail'!$B$462, 0 )</f>
        <v>0</v>
      </c>
      <c r="H220" s="27"/>
      <c r="I220" s="27"/>
      <c r="J220" s="27"/>
      <c r="K220" s="41"/>
    </row>
    <row r="221" spans="1:11" x14ac:dyDescent="0.3">
      <c r="B221" s="102" t="s">
        <v>6</v>
      </c>
      <c r="C221" s="89"/>
      <c r="D221" s="66">
        <f>IF( $F7 = "Eligible", D217, 0 )</f>
        <v>0</v>
      </c>
      <c r="E221" s="67">
        <f>IF( $F7 = "Eligible", E217, 0 )</f>
        <v>0</v>
      </c>
      <c r="F221" s="68">
        <f>IF( $F7 = "Eligible", F217, 0 )</f>
        <v>0</v>
      </c>
      <c r="G221" s="68">
        <f>IF( $F7 = "Eligible", G217, 0 )</f>
        <v>0</v>
      </c>
      <c r="H221" s="27"/>
      <c r="I221" s="27"/>
      <c r="J221" s="27"/>
      <c r="K221" s="41"/>
    </row>
    <row r="222" spans="1:11" x14ac:dyDescent="0.3">
      <c r="B222" s="101" t="s">
        <v>48</v>
      </c>
      <c r="C222" s="100"/>
      <c r="D222" s="51">
        <f>SUM(D220:D221)</f>
        <v>0</v>
      </c>
      <c r="E222" s="52">
        <f>SUM(E220:E221)</f>
        <v>0</v>
      </c>
      <c r="F222" s="52">
        <f>SUM(F220:F221)</f>
        <v>0</v>
      </c>
      <c r="G222" s="52">
        <f>SUM(G220:G221)</f>
        <v>0</v>
      </c>
      <c r="H222" s="27"/>
      <c r="I222" s="27"/>
      <c r="J222" s="27"/>
      <c r="K222" s="41"/>
    </row>
    <row r="223" spans="1:11" x14ac:dyDescent="0.3">
      <c r="B223" s="41"/>
      <c r="C223" s="41"/>
      <c r="D223" s="50"/>
      <c r="E223" s="42"/>
      <c r="F223" s="42"/>
      <c r="G223" s="42"/>
      <c r="H223" s="27"/>
      <c r="I223" s="27"/>
      <c r="J223" s="27"/>
      <c r="K223" s="41"/>
    </row>
    <row r="224" spans="1:11" ht="18" x14ac:dyDescent="0.35">
      <c r="A224" s="53" t="s">
        <v>46</v>
      </c>
      <c r="C224" s="41"/>
      <c r="D224" s="2">
        <v>2012</v>
      </c>
      <c r="E224" s="2">
        <f>D224+1</f>
        <v>2013</v>
      </c>
      <c r="F224" s="2">
        <f>E224+1</f>
        <v>2014</v>
      </c>
      <c r="G224" s="2">
        <f>F224+1</f>
        <v>2015</v>
      </c>
      <c r="H224" s="27"/>
      <c r="I224" s="27"/>
      <c r="J224" s="27"/>
      <c r="K224" s="41"/>
    </row>
    <row r="225" spans="1:11" x14ac:dyDescent="0.3">
      <c r="B225" s="102" t="s">
        <v>50</v>
      </c>
      <c r="C225" s="89"/>
      <c r="D225" s="110">
        <v>0</v>
      </c>
      <c r="E225" s="111">
        <v>0</v>
      </c>
      <c r="F225" s="112">
        <v>0</v>
      </c>
      <c r="G225" s="112">
        <v>0</v>
      </c>
      <c r="H225" s="27"/>
      <c r="I225" s="27"/>
      <c r="J225" s="27"/>
      <c r="K225" s="41"/>
    </row>
    <row r="226" spans="1:11" x14ac:dyDescent="0.3">
      <c r="B226" s="103" t="s">
        <v>38</v>
      </c>
      <c r="C226" s="104"/>
      <c r="D226" s="113">
        <v>0</v>
      </c>
      <c r="E226" s="114">
        <v>0</v>
      </c>
      <c r="F226" s="115">
        <v>0</v>
      </c>
      <c r="G226" s="115">
        <v>0</v>
      </c>
      <c r="H226" s="27"/>
      <c r="I226" s="27"/>
      <c r="J226" s="27"/>
      <c r="K226" s="41"/>
    </row>
    <row r="227" spans="1:11" x14ac:dyDescent="0.3">
      <c r="B227" s="116" t="s">
        <v>52</v>
      </c>
      <c r="C227" s="108"/>
      <c r="D227" s="72">
        <v>0</v>
      </c>
      <c r="E227" s="73">
        <v>0</v>
      </c>
      <c r="F227" s="74">
        <v>0</v>
      </c>
      <c r="G227" s="74">
        <v>0</v>
      </c>
      <c r="H227" s="27"/>
      <c r="I227" s="27"/>
      <c r="J227" s="27"/>
      <c r="K227" s="41"/>
    </row>
    <row r="228" spans="1:11" x14ac:dyDescent="0.3">
      <c r="B228" s="44" t="s">
        <v>53</v>
      </c>
      <c r="D228" s="7">
        <f>SUM(D225:D227)</f>
        <v>0</v>
      </c>
      <c r="E228" s="7">
        <f>SUM(E225:E227)</f>
        <v>0</v>
      </c>
      <c r="F228" s="7">
        <f>SUM(F225:F227)</f>
        <v>0</v>
      </c>
      <c r="G228" s="7">
        <f>SUM(G225:G227)</f>
        <v>0</v>
      </c>
      <c r="H228" s="39"/>
      <c r="I228" s="39"/>
      <c r="J228" s="39"/>
      <c r="K228" s="41"/>
    </row>
    <row r="229" spans="1:11" x14ac:dyDescent="0.3">
      <c r="B229" s="6"/>
      <c r="D229" s="7"/>
      <c r="E229" s="7"/>
      <c r="F229" s="7"/>
      <c r="G229" s="7"/>
      <c r="H229" s="39"/>
      <c r="I229" s="39"/>
      <c r="J229" s="39"/>
      <c r="K229" s="41"/>
    </row>
    <row r="230" spans="1:11" ht="18" x14ac:dyDescent="0.35">
      <c r="A230" s="9" t="s">
        <v>54</v>
      </c>
      <c r="D230" s="2">
        <v>2012</v>
      </c>
      <c r="E230" s="2">
        <f>D230+1</f>
        <v>2013</v>
      </c>
      <c r="F230" s="2">
        <f>E230+1</f>
        <v>2014</v>
      </c>
      <c r="G230" s="2">
        <f>F230+1</f>
        <v>2015</v>
      </c>
      <c r="H230" s="39"/>
      <c r="I230" s="39"/>
      <c r="J230" s="39"/>
      <c r="K230" s="41"/>
    </row>
    <row r="231" spans="1:11" x14ac:dyDescent="0.3">
      <c r="B231" s="102" t="str">
        <f xml:space="preserve"> 'Facility Detail'!$B$465 &amp; " Surplus Applied to " &amp; ( 'Facility Detail'!$B$465 + 1 )</f>
        <v>2012 Surplus Applied to 2013</v>
      </c>
      <c r="C231" s="89"/>
      <c r="D231" s="3"/>
      <c r="E231" s="75">
        <f>D231</f>
        <v>0</v>
      </c>
      <c r="F231" s="164"/>
      <c r="G231" s="77"/>
      <c r="H231" s="39"/>
      <c r="I231" s="39"/>
      <c r="J231" s="39"/>
      <c r="K231" s="41"/>
    </row>
    <row r="232" spans="1:11" x14ac:dyDescent="0.3">
      <c r="B232" s="102" t="str">
        <f xml:space="preserve"> ( 'Facility Detail'!$B$465 + 1 ) &amp; " Surplus Applied to " &amp; ( 'Facility Detail'!$B$465 )</f>
        <v>2013 Surplus Applied to 2012</v>
      </c>
      <c r="C232" s="89"/>
      <c r="D232" s="165">
        <f>E232</f>
        <v>0</v>
      </c>
      <c r="E232" s="10"/>
      <c r="F232" s="96"/>
      <c r="G232" s="95"/>
      <c r="H232" s="39"/>
      <c r="I232" s="39"/>
      <c r="J232" s="39"/>
      <c r="K232" s="41"/>
    </row>
    <row r="233" spans="1:11" x14ac:dyDescent="0.3">
      <c r="B233" s="102" t="str">
        <f xml:space="preserve"> ( 'Facility Detail'!$B$465 + 1 ) &amp; " Surplus Applied to " &amp; ( 'Facility Detail'!$B$465 + 2 )</f>
        <v>2013 Surplus Applied to 2014</v>
      </c>
      <c r="C233" s="89"/>
      <c r="D233" s="78"/>
      <c r="E233" s="10"/>
      <c r="F233" s="88">
        <f>E233</f>
        <v>0</v>
      </c>
      <c r="G233" s="95"/>
      <c r="H233" s="39"/>
      <c r="I233" s="39"/>
      <c r="J233" s="39"/>
      <c r="K233" s="41"/>
    </row>
    <row r="234" spans="1:11" x14ac:dyDescent="0.3">
      <c r="B234" s="102" t="str">
        <f xml:space="preserve"> ( 'Facility Detail'!$B$465 + 2 ) &amp; " Surplus Applied to " &amp; ( 'Facility Detail'!$B$465 + 1 )</f>
        <v>2014 Surplus Applied to 2013</v>
      </c>
      <c r="C234" s="89"/>
      <c r="D234" s="78"/>
      <c r="E234" s="88">
        <f>F234</f>
        <v>0</v>
      </c>
      <c r="F234" s="10"/>
      <c r="G234" s="95"/>
      <c r="H234" s="39"/>
      <c r="I234" s="39"/>
      <c r="J234" s="39"/>
      <c r="K234" s="41"/>
    </row>
    <row r="235" spans="1:11" x14ac:dyDescent="0.3">
      <c r="B235" s="102" t="str">
        <f xml:space="preserve"> ( 'Facility Detail'!$B$465 + 2 ) &amp; " Surplus Applied to " &amp; ( 'Facility Detail'!$B$465 + 3 )</f>
        <v>2014 Surplus Applied to 2015</v>
      </c>
      <c r="C235" s="41"/>
      <c r="D235" s="78"/>
      <c r="E235" s="96"/>
      <c r="F235" s="10"/>
      <c r="G235" s="166">
        <f>F235</f>
        <v>0</v>
      </c>
      <c r="H235" s="39"/>
      <c r="I235" s="39"/>
      <c r="J235" s="39"/>
      <c r="K235" s="41"/>
    </row>
    <row r="236" spans="1:11" x14ac:dyDescent="0.3">
      <c r="B236" s="102" t="str">
        <f xml:space="preserve"> ( 'Facility Detail'!$B$465 +3 ) &amp; " Surplus Applied to " &amp; ( 'Facility Detail'!$B$465 + 2 )</f>
        <v>2015 Surplus Applied to 2014</v>
      </c>
      <c r="C236" s="41"/>
      <c r="D236" s="79"/>
      <c r="E236" s="97"/>
      <c r="F236" s="76">
        <f>G236</f>
        <v>0</v>
      </c>
      <c r="G236" s="167"/>
      <c r="H236" s="39"/>
      <c r="I236" s="39"/>
      <c r="J236" s="39"/>
      <c r="K236" s="41"/>
    </row>
    <row r="237" spans="1:11" x14ac:dyDescent="0.3">
      <c r="B237" s="44" t="s">
        <v>34</v>
      </c>
      <c r="D237" s="7">
        <f xml:space="preserve"> D232 - D231</f>
        <v>0</v>
      </c>
      <c r="E237" s="7">
        <f xml:space="preserve"> E231 + E234 - E233 - E232</f>
        <v>0</v>
      </c>
      <c r="F237" s="7">
        <f>F233+F236-F234-F235</f>
        <v>0</v>
      </c>
      <c r="G237" s="7">
        <f>G235-G236</f>
        <v>0</v>
      </c>
      <c r="H237" s="39"/>
      <c r="I237" s="39"/>
      <c r="J237" s="39"/>
      <c r="K237" s="41"/>
    </row>
    <row r="238" spans="1:11" x14ac:dyDescent="0.3">
      <c r="B238" s="6"/>
      <c r="D238" s="7"/>
      <c r="E238" s="7"/>
      <c r="F238" s="7"/>
      <c r="G238" s="7"/>
      <c r="H238" s="39"/>
      <c r="I238" s="39"/>
      <c r="J238" s="39"/>
      <c r="K238" s="41"/>
    </row>
    <row r="239" spans="1:11" x14ac:dyDescent="0.3">
      <c r="B239" s="109" t="s">
        <v>30</v>
      </c>
      <c r="C239" s="89"/>
      <c r="D239" s="125"/>
      <c r="E239" s="126"/>
      <c r="F239" s="127"/>
      <c r="G239" s="127"/>
      <c r="H239" s="39"/>
      <c r="I239" s="39"/>
      <c r="J239" s="39"/>
      <c r="K239" s="41"/>
    </row>
    <row r="240" spans="1:11" x14ac:dyDescent="0.3">
      <c r="B240" s="6"/>
      <c r="D240" s="7"/>
      <c r="E240" s="7"/>
      <c r="F240" s="7"/>
      <c r="G240" s="7"/>
      <c r="H240" s="39"/>
      <c r="I240" s="39"/>
      <c r="J240" s="39"/>
      <c r="K240" s="41"/>
    </row>
    <row r="241" spans="1:11" ht="15.6" x14ac:dyDescent="0.3">
      <c r="A241" s="105" t="s">
        <v>42</v>
      </c>
      <c r="C241" s="89"/>
      <c r="D241" s="57">
        <f xml:space="preserve"> D217 + D222 - D228 + D237 + D239</f>
        <v>21435</v>
      </c>
      <c r="E241" s="58">
        <f xml:space="preserve"> E217 + E222 - E228 + E237 + E239</f>
        <v>21435</v>
      </c>
      <c r="F241" s="59">
        <f xml:space="preserve"> F217 + F222 - F228 + F237 + F239</f>
        <v>21435</v>
      </c>
      <c r="G241" s="59">
        <f xml:space="preserve"> G217 + G222 - G228 + G237 + G239</f>
        <v>21435</v>
      </c>
      <c r="H241" s="39"/>
      <c r="I241" s="39"/>
      <c r="J241" s="39"/>
      <c r="K241" s="41"/>
    </row>
    <row r="242" spans="1:11" x14ac:dyDescent="0.3">
      <c r="B242" s="6"/>
      <c r="D242" s="7"/>
      <c r="E242" s="7"/>
      <c r="F242" s="7"/>
      <c r="G242" s="39"/>
      <c r="H242" s="39"/>
      <c r="I242" s="39"/>
      <c r="J242" s="39"/>
      <c r="K242" s="41"/>
    </row>
    <row r="243" spans="1:11" ht="15" thickBot="1" x14ac:dyDescent="0.35">
      <c r="H243" s="41"/>
      <c r="I243" s="41"/>
      <c r="J243" s="41"/>
      <c r="K243" s="41"/>
    </row>
    <row r="244" spans="1:11" x14ac:dyDescent="0.3">
      <c r="A244" s="8"/>
      <c r="B244" s="8"/>
      <c r="C244" s="8"/>
      <c r="D244" s="8"/>
      <c r="E244" s="8"/>
      <c r="F244" s="8"/>
      <c r="G244" s="8"/>
      <c r="H244" s="41"/>
      <c r="I244" s="41"/>
      <c r="J244" s="41"/>
      <c r="K244" s="41"/>
    </row>
    <row r="245" spans="1:11" x14ac:dyDescent="0.3">
      <c r="B245" s="41"/>
      <c r="C245" s="41"/>
      <c r="D245" s="41"/>
      <c r="E245" s="41"/>
      <c r="F245" s="41"/>
      <c r="G245" s="41"/>
      <c r="H245" s="41"/>
      <c r="I245" s="41"/>
      <c r="J245" s="41"/>
      <c r="K245" s="41"/>
    </row>
    <row r="246" spans="1:11" ht="21" x14ac:dyDescent="0.4">
      <c r="A246" s="16" t="s">
        <v>4</v>
      </c>
      <c r="B246" s="16"/>
      <c r="C246" s="54" t="str">
        <f>B8</f>
        <v>Noxon Rapids #2</v>
      </c>
      <c r="D246" s="55"/>
      <c r="E246" s="26"/>
      <c r="F246" s="26"/>
      <c r="I246" s="41"/>
      <c r="J246" s="41"/>
      <c r="K246" s="41"/>
    </row>
    <row r="247" spans="1:11" x14ac:dyDescent="0.3">
      <c r="I247" s="41"/>
      <c r="J247" s="41"/>
      <c r="K247" s="41"/>
    </row>
    <row r="248" spans="1:11" ht="18" x14ac:dyDescent="0.35">
      <c r="A248" s="9" t="s">
        <v>36</v>
      </c>
      <c r="B248" s="9"/>
      <c r="D248" s="2">
        <v>2012</v>
      </c>
      <c r="E248" s="2">
        <f>D248+1</f>
        <v>2013</v>
      </c>
      <c r="F248" s="2">
        <f>E248+1</f>
        <v>2014</v>
      </c>
      <c r="G248" s="2">
        <f>F248+1</f>
        <v>2015</v>
      </c>
      <c r="H248" s="28"/>
      <c r="I248" s="28"/>
      <c r="J248" s="28"/>
      <c r="K248" s="41"/>
    </row>
    <row r="249" spans="1:11" x14ac:dyDescent="0.3">
      <c r="B249" s="102" t="str">
        <f>"Total MWh Produced / Purchased from " &amp; C246</f>
        <v>Total MWh Produced / Purchased from Noxon Rapids #2</v>
      </c>
      <c r="C249" s="89"/>
      <c r="D249" s="3">
        <v>7709</v>
      </c>
      <c r="E249" s="4">
        <v>7709.3339427714673</v>
      </c>
      <c r="F249" s="5">
        <v>7709.3339427714673</v>
      </c>
      <c r="G249" s="5">
        <v>7709.3339427714673</v>
      </c>
      <c r="H249" s="27"/>
      <c r="I249" s="27"/>
      <c r="J249" s="27"/>
      <c r="K249" s="41"/>
    </row>
    <row r="250" spans="1:11" x14ac:dyDescent="0.3">
      <c r="B250" s="102" t="s">
        <v>41</v>
      </c>
      <c r="C250" s="89"/>
      <c r="D250" s="69">
        <v>1</v>
      </c>
      <c r="E250" s="70">
        <v>1</v>
      </c>
      <c r="F250" s="71">
        <v>1</v>
      </c>
      <c r="G250" s="71">
        <v>1</v>
      </c>
      <c r="H250" s="27"/>
      <c r="I250" s="27"/>
      <c r="J250" s="27"/>
      <c r="K250" s="41"/>
    </row>
    <row r="251" spans="1:11" x14ac:dyDescent="0.3">
      <c r="B251" s="102" t="s">
        <v>35</v>
      </c>
      <c r="C251" s="89"/>
      <c r="D251" s="62">
        <v>1</v>
      </c>
      <c r="E251" s="63">
        <v>1</v>
      </c>
      <c r="F251" s="64">
        <v>1</v>
      </c>
      <c r="G251" s="64">
        <v>1</v>
      </c>
      <c r="H251" s="27"/>
      <c r="I251" s="27"/>
      <c r="J251" s="27"/>
      <c r="K251" s="41"/>
    </row>
    <row r="252" spans="1:11" x14ac:dyDescent="0.3">
      <c r="B252" s="99" t="s">
        <v>37</v>
      </c>
      <c r="C252" s="100"/>
      <c r="D252" s="49">
        <f xml:space="preserve"> D249 * D250 * D251</f>
        <v>7709</v>
      </c>
      <c r="E252" s="49">
        <f xml:space="preserve"> E249 * E250 * E251</f>
        <v>7709.3339427714673</v>
      </c>
      <c r="F252" s="49">
        <f xml:space="preserve"> F249 * F250 * F251</f>
        <v>7709.3339427714673</v>
      </c>
      <c r="G252" s="49">
        <f xml:space="preserve"> G249 * G250 * G251</f>
        <v>7709.3339427714673</v>
      </c>
      <c r="H252" s="27"/>
      <c r="I252" s="27"/>
      <c r="J252" s="27"/>
      <c r="K252" s="41"/>
    </row>
    <row r="253" spans="1:11" x14ac:dyDescent="0.3">
      <c r="B253" s="26"/>
      <c r="C253" s="41"/>
      <c r="D253" s="48"/>
      <c r="E253" s="48"/>
      <c r="F253" s="48"/>
      <c r="G253" s="48"/>
      <c r="H253" s="27"/>
      <c r="I253" s="27"/>
      <c r="J253" s="27"/>
      <c r="K253" s="41"/>
    </row>
    <row r="254" spans="1:11" ht="18" x14ac:dyDescent="0.35">
      <c r="A254" s="56" t="s">
        <v>39</v>
      </c>
      <c r="C254" s="41"/>
      <c r="D254" s="2">
        <v>2012</v>
      </c>
      <c r="E254" s="2">
        <f>D254+1</f>
        <v>2013</v>
      </c>
      <c r="F254" s="2">
        <f>E254+1</f>
        <v>2014</v>
      </c>
      <c r="G254" s="2">
        <f>F254+1</f>
        <v>2015</v>
      </c>
      <c r="H254" s="27"/>
      <c r="I254" s="27"/>
      <c r="J254" s="27"/>
      <c r="K254" s="41"/>
    </row>
    <row r="255" spans="1:11" x14ac:dyDescent="0.3">
      <c r="B255" s="102" t="s">
        <v>28</v>
      </c>
      <c r="C255" s="89"/>
      <c r="D255" s="65">
        <f>IF( $E8 = "Eligible", D252 * 'Facility Detail'!$B$462, 0 )</f>
        <v>0</v>
      </c>
      <c r="E255" s="13">
        <f>IF( $E8 = "Eligible", E252 * 'Facility Detail'!$B$462, 0 )</f>
        <v>0</v>
      </c>
      <c r="F255" s="14">
        <f>IF( $E8 = "Eligible", F252 * 'Facility Detail'!$B$462, 0 )</f>
        <v>0</v>
      </c>
      <c r="G255" s="14">
        <f>IF( $E8 = "Eligible", G252 * 'Facility Detail'!$B$462, 0 )</f>
        <v>0</v>
      </c>
      <c r="H255" s="27"/>
      <c r="I255" s="27"/>
      <c r="J255" s="27"/>
      <c r="K255" s="41"/>
    </row>
    <row r="256" spans="1:11" x14ac:dyDescent="0.3">
      <c r="B256" s="102" t="s">
        <v>6</v>
      </c>
      <c r="C256" s="89"/>
      <c r="D256" s="66">
        <f>IF( $F8 = "Eligible", D252, 0 )</f>
        <v>0</v>
      </c>
      <c r="E256" s="67">
        <f>IF( $F8 = "Eligible", E252, 0 )</f>
        <v>0</v>
      </c>
      <c r="F256" s="68">
        <f>IF( $F8 = "Eligible", F252, 0 )</f>
        <v>0</v>
      </c>
      <c r="G256" s="68">
        <f>IF( $F8 = "Eligible", G252, 0 )</f>
        <v>0</v>
      </c>
      <c r="H256" s="27"/>
      <c r="I256" s="27"/>
      <c r="J256" s="27"/>
      <c r="K256" s="41"/>
    </row>
    <row r="257" spans="1:11" x14ac:dyDescent="0.3">
      <c r="B257" s="101" t="s">
        <v>48</v>
      </c>
      <c r="C257" s="100"/>
      <c r="D257" s="51">
        <f>SUM(D255:D256)</f>
        <v>0</v>
      </c>
      <c r="E257" s="52">
        <f>SUM(E255:E256)</f>
        <v>0</v>
      </c>
      <c r="F257" s="52">
        <f>SUM(F255:F256)</f>
        <v>0</v>
      </c>
      <c r="G257" s="52">
        <f>SUM(G255:G256)</f>
        <v>0</v>
      </c>
      <c r="H257" s="27"/>
      <c r="I257" s="27"/>
      <c r="J257" s="27"/>
      <c r="K257" s="41"/>
    </row>
    <row r="258" spans="1:11" x14ac:dyDescent="0.3">
      <c r="B258" s="41"/>
      <c r="C258" s="41"/>
      <c r="D258" s="50"/>
      <c r="E258" s="42"/>
      <c r="F258" s="42"/>
      <c r="G258" s="42"/>
      <c r="H258" s="27"/>
      <c r="I258" s="27"/>
      <c r="J258" s="27"/>
      <c r="K258" s="41"/>
    </row>
    <row r="259" spans="1:11" ht="18" x14ac:dyDescent="0.35">
      <c r="A259" s="53" t="s">
        <v>46</v>
      </c>
      <c r="C259" s="41"/>
      <c r="D259" s="2">
        <v>2012</v>
      </c>
      <c r="E259" s="2">
        <f>D259+1</f>
        <v>2013</v>
      </c>
      <c r="F259" s="2">
        <f>E259+1</f>
        <v>2014</v>
      </c>
      <c r="G259" s="2">
        <f>F259+1</f>
        <v>2015</v>
      </c>
      <c r="H259" s="27"/>
      <c r="I259" s="27"/>
      <c r="J259" s="27"/>
      <c r="K259" s="41"/>
    </row>
    <row r="260" spans="1:11" x14ac:dyDescent="0.3">
      <c r="B260" s="102" t="s">
        <v>50</v>
      </c>
      <c r="C260" s="89"/>
      <c r="D260" s="110">
        <v>0</v>
      </c>
      <c r="E260" s="111">
        <v>0</v>
      </c>
      <c r="F260" s="112">
        <v>0</v>
      </c>
      <c r="G260" s="112">
        <v>0</v>
      </c>
      <c r="H260" s="27"/>
      <c r="I260" s="27"/>
      <c r="J260" s="27"/>
      <c r="K260" s="41"/>
    </row>
    <row r="261" spans="1:11" x14ac:dyDescent="0.3">
      <c r="B261" s="103" t="s">
        <v>38</v>
      </c>
      <c r="C261" s="104"/>
      <c r="D261" s="113">
        <v>0</v>
      </c>
      <c r="E261" s="114">
        <v>0</v>
      </c>
      <c r="F261" s="115">
        <v>0</v>
      </c>
      <c r="G261" s="115">
        <v>0</v>
      </c>
      <c r="H261" s="27"/>
      <c r="I261" s="27"/>
      <c r="J261" s="27"/>
      <c r="K261" s="41"/>
    </row>
    <row r="262" spans="1:11" x14ac:dyDescent="0.3">
      <c r="B262" s="116" t="s">
        <v>52</v>
      </c>
      <c r="C262" s="108"/>
      <c r="D262" s="72">
        <v>0</v>
      </c>
      <c r="E262" s="73">
        <v>0</v>
      </c>
      <c r="F262" s="74">
        <v>0</v>
      </c>
      <c r="G262" s="74">
        <v>0</v>
      </c>
      <c r="H262" s="27"/>
      <c r="I262" s="27"/>
      <c r="J262" s="27"/>
      <c r="K262" s="41"/>
    </row>
    <row r="263" spans="1:11" x14ac:dyDescent="0.3">
      <c r="B263" s="44" t="s">
        <v>53</v>
      </c>
      <c r="D263" s="7">
        <f>SUM(D260:D262)</f>
        <v>0</v>
      </c>
      <c r="E263" s="7">
        <f>SUM(E260:E262)</f>
        <v>0</v>
      </c>
      <c r="F263" s="7">
        <f>SUM(F260:F262)</f>
        <v>0</v>
      </c>
      <c r="G263" s="7">
        <f>SUM(G260:G262)</f>
        <v>0</v>
      </c>
      <c r="H263" s="39"/>
      <c r="I263" s="39"/>
      <c r="J263" s="39"/>
      <c r="K263" s="41"/>
    </row>
    <row r="264" spans="1:11" x14ac:dyDescent="0.3">
      <c r="B264" s="6"/>
      <c r="D264" s="7"/>
      <c r="E264" s="7"/>
      <c r="F264" s="7"/>
      <c r="G264" s="7"/>
      <c r="H264" s="39"/>
      <c r="I264" s="39"/>
      <c r="J264" s="39"/>
      <c r="K264" s="41"/>
    </row>
    <row r="265" spans="1:11" ht="18" x14ac:dyDescent="0.35">
      <c r="A265" s="9" t="s">
        <v>54</v>
      </c>
      <c r="D265" s="2">
        <v>2012</v>
      </c>
      <c r="E265" s="2">
        <f>D265+1</f>
        <v>2013</v>
      </c>
      <c r="F265" s="2">
        <f>E265+1</f>
        <v>2014</v>
      </c>
      <c r="G265" s="2">
        <f>F265+1</f>
        <v>2015</v>
      </c>
      <c r="H265" s="39"/>
      <c r="I265" s="39"/>
      <c r="J265" s="39"/>
      <c r="K265" s="41"/>
    </row>
    <row r="266" spans="1:11" x14ac:dyDescent="0.3">
      <c r="B266" s="102" t="str">
        <f xml:space="preserve"> 'Facility Detail'!$B$465 &amp; " Surplus Applied to " &amp; ( 'Facility Detail'!$B$465 + 1 )</f>
        <v>2012 Surplus Applied to 2013</v>
      </c>
      <c r="C266" s="89"/>
      <c r="D266" s="3"/>
      <c r="E266" s="75">
        <f>D266</f>
        <v>0</v>
      </c>
      <c r="F266" s="164"/>
      <c r="G266" s="77"/>
      <c r="H266" s="39"/>
      <c r="I266" s="39"/>
      <c r="J266" s="39"/>
      <c r="K266" s="41"/>
    </row>
    <row r="267" spans="1:11" x14ac:dyDescent="0.3">
      <c r="B267" s="102" t="str">
        <f xml:space="preserve"> ( 'Facility Detail'!$B$465 + 1 ) &amp; " Surplus Applied to " &amp; ( 'Facility Detail'!$B$465 )</f>
        <v>2013 Surplus Applied to 2012</v>
      </c>
      <c r="C267" s="89"/>
      <c r="D267" s="165">
        <f>E267</f>
        <v>0</v>
      </c>
      <c r="E267" s="10"/>
      <c r="F267" s="96"/>
      <c r="G267" s="95"/>
      <c r="H267" s="39"/>
      <c r="I267" s="39"/>
      <c r="J267" s="39"/>
      <c r="K267" s="41"/>
    </row>
    <row r="268" spans="1:11" x14ac:dyDescent="0.3">
      <c r="B268" s="102" t="str">
        <f xml:space="preserve"> ( 'Facility Detail'!$B$465 + 1 ) &amp; " Surplus Applied to " &amp; ( 'Facility Detail'!$B$465 + 2 )</f>
        <v>2013 Surplus Applied to 2014</v>
      </c>
      <c r="C268" s="89"/>
      <c r="D268" s="78"/>
      <c r="E268" s="10"/>
      <c r="F268" s="88">
        <f>E268</f>
        <v>0</v>
      </c>
      <c r="G268" s="95"/>
      <c r="H268" s="39"/>
      <c r="I268" s="39"/>
      <c r="J268" s="39"/>
      <c r="K268" s="41"/>
    </row>
    <row r="269" spans="1:11" x14ac:dyDescent="0.3">
      <c r="B269" s="102" t="str">
        <f xml:space="preserve"> ( 'Facility Detail'!$B$465 + 2 ) &amp; " Surplus Applied to " &amp; ( 'Facility Detail'!$B$465 + 1 )</f>
        <v>2014 Surplus Applied to 2013</v>
      </c>
      <c r="C269" s="89"/>
      <c r="D269" s="78"/>
      <c r="E269" s="88">
        <f>F269</f>
        <v>0</v>
      </c>
      <c r="F269" s="10"/>
      <c r="G269" s="95"/>
      <c r="H269" s="39"/>
      <c r="I269" s="39"/>
      <c r="J269" s="39"/>
      <c r="K269" s="41"/>
    </row>
    <row r="270" spans="1:11" x14ac:dyDescent="0.3">
      <c r="B270" s="102" t="str">
        <f xml:space="preserve"> ( 'Facility Detail'!$B$465 + 2 ) &amp; " Surplus Applied to " &amp; ( 'Facility Detail'!$B$465 + 3 )</f>
        <v>2014 Surplus Applied to 2015</v>
      </c>
      <c r="C270" s="41"/>
      <c r="D270" s="78"/>
      <c r="E270" s="96"/>
      <c r="F270" s="10"/>
      <c r="G270" s="166">
        <f>F270</f>
        <v>0</v>
      </c>
      <c r="H270" s="39"/>
      <c r="I270" s="39"/>
      <c r="J270" s="39"/>
      <c r="K270" s="41"/>
    </row>
    <row r="271" spans="1:11" x14ac:dyDescent="0.3">
      <c r="B271" s="102" t="str">
        <f xml:space="preserve"> ( 'Facility Detail'!$B$465 +3 ) &amp; " Surplus Applied to " &amp; ( 'Facility Detail'!$B$465 + 2 )</f>
        <v>2015 Surplus Applied to 2014</v>
      </c>
      <c r="C271" s="41"/>
      <c r="D271" s="79"/>
      <c r="E271" s="97"/>
      <c r="F271" s="76">
        <f>G271</f>
        <v>0</v>
      </c>
      <c r="G271" s="167"/>
      <c r="H271" s="39"/>
      <c r="I271" s="39"/>
      <c r="J271" s="39"/>
      <c r="K271" s="41"/>
    </row>
    <row r="272" spans="1:11" x14ac:dyDescent="0.3">
      <c r="B272" s="44" t="s">
        <v>34</v>
      </c>
      <c r="D272" s="7">
        <f xml:space="preserve"> D267 - D266</f>
        <v>0</v>
      </c>
      <c r="E272" s="7">
        <f xml:space="preserve"> E266 + E269 - E268 - E267</f>
        <v>0</v>
      </c>
      <c r="F272" s="7">
        <f>F268+F271-F269-F270</f>
        <v>0</v>
      </c>
      <c r="G272" s="7">
        <f>G270-G271</f>
        <v>0</v>
      </c>
      <c r="H272" s="39"/>
      <c r="I272" s="39"/>
      <c r="J272" s="39"/>
      <c r="K272" s="41"/>
    </row>
    <row r="273" spans="1:11" x14ac:dyDescent="0.3">
      <c r="B273" s="6"/>
      <c r="D273" s="7"/>
      <c r="E273" s="7"/>
      <c r="F273" s="7"/>
      <c r="G273" s="7"/>
      <c r="H273" s="39"/>
      <c r="I273" s="39"/>
      <c r="J273" s="39"/>
      <c r="K273" s="41"/>
    </row>
    <row r="274" spans="1:11" x14ac:dyDescent="0.3">
      <c r="B274" s="109" t="s">
        <v>30</v>
      </c>
      <c r="C274" s="89"/>
      <c r="D274" s="125"/>
      <c r="E274" s="126"/>
      <c r="F274" s="127"/>
      <c r="G274" s="127"/>
      <c r="H274" s="39"/>
      <c r="I274" s="39"/>
      <c r="J274" s="39"/>
      <c r="K274" s="41"/>
    </row>
    <row r="275" spans="1:11" x14ac:dyDescent="0.3">
      <c r="B275" s="6"/>
      <c r="D275" s="7"/>
      <c r="E275" s="7"/>
      <c r="F275" s="7"/>
      <c r="G275" s="7"/>
      <c r="H275" s="39"/>
      <c r="I275" s="39"/>
      <c r="J275" s="39"/>
      <c r="K275" s="41"/>
    </row>
    <row r="276" spans="1:11" ht="15.6" x14ac:dyDescent="0.3">
      <c r="A276" s="105" t="s">
        <v>42</v>
      </c>
      <c r="C276" s="89"/>
      <c r="D276" s="57">
        <f xml:space="preserve"> D252 + D257 - D263 + D272 + D274</f>
        <v>7709</v>
      </c>
      <c r="E276" s="58">
        <f xml:space="preserve"> E252 + E257 - E263 + E272 + E274</f>
        <v>7709.3339427714673</v>
      </c>
      <c r="F276" s="59">
        <f xml:space="preserve"> F252 + F257 - F263 + F272 + F274</f>
        <v>7709.3339427714673</v>
      </c>
      <c r="G276" s="59">
        <f xml:space="preserve"> G252 + G257 - G263 + G272 + G274</f>
        <v>7709.3339427714673</v>
      </c>
      <c r="H276" s="39"/>
      <c r="I276" s="39"/>
      <c r="J276" s="39"/>
      <c r="K276" s="41"/>
    </row>
    <row r="277" spans="1:11" x14ac:dyDescent="0.3">
      <c r="B277" s="6"/>
      <c r="D277" s="7"/>
      <c r="E277" s="7"/>
      <c r="F277" s="7"/>
      <c r="G277" s="39"/>
      <c r="H277" s="39"/>
      <c r="I277" s="39"/>
      <c r="J277" s="39"/>
      <c r="K277" s="41"/>
    </row>
    <row r="278" spans="1:11" ht="15" thickBot="1" x14ac:dyDescent="0.35">
      <c r="H278" s="41"/>
      <c r="I278" s="41"/>
      <c r="J278" s="41"/>
      <c r="K278" s="41"/>
    </row>
    <row r="279" spans="1:11" x14ac:dyDescent="0.3">
      <c r="A279" s="8"/>
      <c r="B279" s="8"/>
      <c r="C279" s="8"/>
      <c r="D279" s="8"/>
      <c r="E279" s="8"/>
      <c r="F279" s="8"/>
      <c r="G279" s="8"/>
      <c r="H279" s="41"/>
      <c r="I279" s="41"/>
      <c r="J279" s="41"/>
      <c r="K279" s="41"/>
    </row>
    <row r="280" spans="1:11" x14ac:dyDescent="0.3">
      <c r="B280" s="41"/>
      <c r="C280" s="41"/>
      <c r="D280" s="41"/>
      <c r="E280" s="41"/>
      <c r="F280" s="41"/>
      <c r="G280" s="41"/>
      <c r="H280" s="41"/>
      <c r="I280" s="41"/>
      <c r="J280" s="41"/>
      <c r="K280" s="41"/>
    </row>
    <row r="281" spans="1:11" ht="21" x14ac:dyDescent="0.4">
      <c r="A281" s="16" t="s">
        <v>4</v>
      </c>
      <c r="B281" s="16"/>
      <c r="C281" s="54" t="str">
        <f>B9</f>
        <v>Noxon Rapids #3</v>
      </c>
      <c r="D281" s="55"/>
      <c r="E281" s="26"/>
      <c r="F281" s="26"/>
      <c r="I281" s="41"/>
      <c r="J281" s="41"/>
      <c r="K281" s="41"/>
    </row>
    <row r="282" spans="1:11" x14ac:dyDescent="0.3">
      <c r="I282" s="41"/>
      <c r="J282" s="41"/>
      <c r="K282" s="41"/>
    </row>
    <row r="283" spans="1:11" ht="18" x14ac:dyDescent="0.35">
      <c r="A283" s="9" t="s">
        <v>36</v>
      </c>
      <c r="B283" s="9"/>
      <c r="D283" s="2">
        <v>2012</v>
      </c>
      <c r="E283" s="2">
        <f>D283+1</f>
        <v>2013</v>
      </c>
      <c r="F283" s="2">
        <f>E283+1</f>
        <v>2014</v>
      </c>
      <c r="G283" s="2">
        <f>F283+1</f>
        <v>2015</v>
      </c>
      <c r="H283" s="28"/>
      <c r="I283" s="28"/>
      <c r="J283" s="28"/>
      <c r="K283" s="41"/>
    </row>
    <row r="284" spans="1:11" x14ac:dyDescent="0.3">
      <c r="B284" s="102" t="str">
        <f>"Total MWh Produced / Purchased from " &amp; C281</f>
        <v>Total MWh Produced / Purchased from Noxon Rapids #3</v>
      </c>
      <c r="C284" s="89"/>
      <c r="D284" s="3">
        <v>14529</v>
      </c>
      <c r="E284" s="4">
        <v>14528.592942067989</v>
      </c>
      <c r="F284" s="5">
        <v>14528.592942067989</v>
      </c>
      <c r="G284" s="5">
        <v>14528.592942067989</v>
      </c>
      <c r="H284" s="27"/>
      <c r="I284" s="27"/>
      <c r="J284" s="27"/>
      <c r="K284" s="41"/>
    </row>
    <row r="285" spans="1:11" x14ac:dyDescent="0.3">
      <c r="B285" s="102" t="s">
        <v>41</v>
      </c>
      <c r="C285" s="89"/>
      <c r="D285" s="69">
        <v>1</v>
      </c>
      <c r="E285" s="70">
        <v>1</v>
      </c>
      <c r="F285" s="71">
        <v>1</v>
      </c>
      <c r="G285" s="71">
        <v>1</v>
      </c>
      <c r="H285" s="27"/>
      <c r="I285" s="27"/>
      <c r="J285" s="27"/>
      <c r="K285" s="41"/>
    </row>
    <row r="286" spans="1:11" x14ac:dyDescent="0.3">
      <c r="B286" s="102" t="s">
        <v>35</v>
      </c>
      <c r="C286" s="89"/>
      <c r="D286" s="62">
        <v>1</v>
      </c>
      <c r="E286" s="63">
        <v>1</v>
      </c>
      <c r="F286" s="64">
        <v>1</v>
      </c>
      <c r="G286" s="64">
        <v>1</v>
      </c>
      <c r="H286" s="27"/>
      <c r="I286" s="27"/>
      <c r="J286" s="27"/>
      <c r="K286" s="41"/>
    </row>
    <row r="287" spans="1:11" x14ac:dyDescent="0.3">
      <c r="B287" s="99" t="s">
        <v>37</v>
      </c>
      <c r="C287" s="100"/>
      <c r="D287" s="49">
        <f xml:space="preserve"> D284 * D285 * D286</f>
        <v>14529</v>
      </c>
      <c r="E287" s="49">
        <f xml:space="preserve"> E284 * E285 * E286</f>
        <v>14528.592942067989</v>
      </c>
      <c r="F287" s="49">
        <f xml:space="preserve"> F284 * F285 * F286</f>
        <v>14528.592942067989</v>
      </c>
      <c r="G287" s="49">
        <f xml:space="preserve"> G284 * G285 * G286</f>
        <v>14528.592942067989</v>
      </c>
      <c r="H287" s="27"/>
      <c r="I287" s="27"/>
      <c r="J287" s="27"/>
      <c r="K287" s="41"/>
    </row>
    <row r="288" spans="1:11" x14ac:dyDescent="0.3">
      <c r="B288" s="26"/>
      <c r="C288" s="41"/>
      <c r="D288" s="48"/>
      <c r="E288" s="48"/>
      <c r="F288" s="48"/>
      <c r="G288" s="48"/>
      <c r="H288" s="27"/>
      <c r="I288" s="27"/>
      <c r="J288" s="27"/>
      <c r="K288" s="41"/>
    </row>
    <row r="289" spans="1:11" ht="18" x14ac:dyDescent="0.35">
      <c r="A289" s="56" t="s">
        <v>39</v>
      </c>
      <c r="C289" s="41"/>
      <c r="D289" s="2">
        <v>2012</v>
      </c>
      <c r="E289" s="2">
        <f>D289+1</f>
        <v>2013</v>
      </c>
      <c r="F289" s="2">
        <f>E289+1</f>
        <v>2014</v>
      </c>
      <c r="G289" s="2">
        <f>F289+1</f>
        <v>2015</v>
      </c>
      <c r="H289" s="27"/>
      <c r="I289" s="27"/>
      <c r="J289" s="27"/>
      <c r="K289" s="41"/>
    </row>
    <row r="290" spans="1:11" x14ac:dyDescent="0.3">
      <c r="B290" s="102" t="s">
        <v>28</v>
      </c>
      <c r="C290" s="89"/>
      <c r="D290" s="65">
        <f>IF( $E9 = "Eligible", D287 * 'Facility Detail'!$B$462, 0 )</f>
        <v>0</v>
      </c>
      <c r="E290" s="13">
        <f>IF( $E9 = "Eligible", E287 * 'Facility Detail'!$B$462, 0 )</f>
        <v>0</v>
      </c>
      <c r="F290" s="14">
        <f>IF( $E9 = "Eligible", F287 * 'Facility Detail'!$B$462, 0 )</f>
        <v>0</v>
      </c>
      <c r="G290" s="14">
        <f>IF( $E9 = "Eligible", G287 * 'Facility Detail'!$B$462, 0 )</f>
        <v>0</v>
      </c>
      <c r="H290" s="27"/>
      <c r="I290" s="27"/>
      <c r="J290" s="27"/>
      <c r="K290" s="41"/>
    </row>
    <row r="291" spans="1:11" x14ac:dyDescent="0.3">
      <c r="B291" s="102" t="s">
        <v>6</v>
      </c>
      <c r="C291" s="89"/>
      <c r="D291" s="66">
        <f>IF( $F9 = "Eligible", D287, 0 )</f>
        <v>0</v>
      </c>
      <c r="E291" s="67">
        <f>IF( $F9 = "Eligible", E287, 0 )</f>
        <v>0</v>
      </c>
      <c r="F291" s="68">
        <f>IF( $F9 = "Eligible", F287, 0 )</f>
        <v>0</v>
      </c>
      <c r="G291" s="68">
        <f>IF( $F9 = "Eligible", G287, 0 )</f>
        <v>0</v>
      </c>
      <c r="H291" s="27"/>
      <c r="I291" s="27"/>
      <c r="J291" s="27"/>
      <c r="K291" s="41"/>
    </row>
    <row r="292" spans="1:11" x14ac:dyDescent="0.3">
      <c r="B292" s="101" t="s">
        <v>48</v>
      </c>
      <c r="C292" s="100"/>
      <c r="D292" s="51">
        <f>SUM(D290:D291)</f>
        <v>0</v>
      </c>
      <c r="E292" s="52">
        <f>SUM(E290:E291)</f>
        <v>0</v>
      </c>
      <c r="F292" s="52">
        <f>SUM(F290:F291)</f>
        <v>0</v>
      </c>
      <c r="G292" s="52">
        <f>SUM(G290:G291)</f>
        <v>0</v>
      </c>
      <c r="H292" s="27"/>
      <c r="I292" s="27"/>
      <c r="J292" s="27"/>
      <c r="K292" s="41"/>
    </row>
    <row r="293" spans="1:11" x14ac:dyDescent="0.3">
      <c r="B293" s="41"/>
      <c r="C293" s="41"/>
      <c r="D293" s="50"/>
      <c r="E293" s="42"/>
      <c r="F293" s="42"/>
      <c r="G293" s="42"/>
      <c r="H293" s="27"/>
      <c r="I293" s="27"/>
      <c r="J293" s="27"/>
      <c r="K293" s="41"/>
    </row>
    <row r="294" spans="1:11" ht="18" x14ac:dyDescent="0.35">
      <c r="A294" s="53" t="s">
        <v>46</v>
      </c>
      <c r="C294" s="41"/>
      <c r="D294" s="2">
        <v>2012</v>
      </c>
      <c r="E294" s="2">
        <f>D294+1</f>
        <v>2013</v>
      </c>
      <c r="F294" s="2">
        <f>E294+1</f>
        <v>2014</v>
      </c>
      <c r="G294" s="2">
        <f>F294+1</f>
        <v>2015</v>
      </c>
      <c r="H294" s="27"/>
      <c r="I294" s="27"/>
      <c r="J294" s="27"/>
      <c r="K294" s="41"/>
    </row>
    <row r="295" spans="1:11" x14ac:dyDescent="0.3">
      <c r="B295" s="102" t="s">
        <v>50</v>
      </c>
      <c r="C295" s="89"/>
      <c r="D295" s="110">
        <v>0</v>
      </c>
      <c r="E295" s="111">
        <v>0</v>
      </c>
      <c r="F295" s="112">
        <v>0</v>
      </c>
      <c r="G295" s="112">
        <v>0</v>
      </c>
      <c r="H295" s="27"/>
      <c r="I295" s="27"/>
      <c r="J295" s="27"/>
      <c r="K295" s="41"/>
    </row>
    <row r="296" spans="1:11" x14ac:dyDescent="0.3">
      <c r="B296" s="103" t="s">
        <v>38</v>
      </c>
      <c r="C296" s="104"/>
      <c r="D296" s="113">
        <v>0</v>
      </c>
      <c r="E296" s="114">
        <v>0</v>
      </c>
      <c r="F296" s="115">
        <v>0</v>
      </c>
      <c r="G296" s="115">
        <v>0</v>
      </c>
      <c r="H296" s="27"/>
      <c r="I296" s="27"/>
      <c r="J296" s="27"/>
      <c r="K296" s="41"/>
    </row>
    <row r="297" spans="1:11" x14ac:dyDescent="0.3">
      <c r="B297" s="116" t="s">
        <v>52</v>
      </c>
      <c r="C297" s="108"/>
      <c r="D297" s="72">
        <v>0</v>
      </c>
      <c r="E297" s="73">
        <v>0</v>
      </c>
      <c r="F297" s="74">
        <v>0</v>
      </c>
      <c r="G297" s="74">
        <v>0</v>
      </c>
      <c r="H297" s="27"/>
      <c r="I297" s="27"/>
      <c r="J297" s="27"/>
      <c r="K297" s="41"/>
    </row>
    <row r="298" spans="1:11" x14ac:dyDescent="0.3">
      <c r="B298" s="44" t="s">
        <v>53</v>
      </c>
      <c r="D298" s="7">
        <f>SUM(D295:D297)</f>
        <v>0</v>
      </c>
      <c r="E298" s="7">
        <f>SUM(E295:E297)</f>
        <v>0</v>
      </c>
      <c r="F298" s="7">
        <f>SUM(F295:F297)</f>
        <v>0</v>
      </c>
      <c r="G298" s="7">
        <f>SUM(G295:G297)</f>
        <v>0</v>
      </c>
      <c r="H298" s="39"/>
      <c r="I298" s="39"/>
      <c r="J298" s="39"/>
      <c r="K298" s="41"/>
    </row>
    <row r="299" spans="1:11" x14ac:dyDescent="0.3">
      <c r="B299" s="6"/>
      <c r="D299" s="7"/>
      <c r="E299" s="7"/>
      <c r="F299" s="7"/>
      <c r="G299" s="7"/>
      <c r="H299" s="39"/>
      <c r="I299" s="39"/>
      <c r="J299" s="39"/>
      <c r="K299" s="41"/>
    </row>
    <row r="300" spans="1:11" ht="18" x14ac:dyDescent="0.35">
      <c r="A300" s="9" t="s">
        <v>54</v>
      </c>
      <c r="D300" s="2">
        <v>2012</v>
      </c>
      <c r="E300" s="2">
        <f>D300+1</f>
        <v>2013</v>
      </c>
      <c r="F300" s="2">
        <f>E300+1</f>
        <v>2014</v>
      </c>
      <c r="G300" s="2">
        <f>F300+1</f>
        <v>2015</v>
      </c>
      <c r="H300" s="39"/>
      <c r="I300" s="39"/>
      <c r="J300" s="39"/>
      <c r="K300" s="41"/>
    </row>
    <row r="301" spans="1:11" x14ac:dyDescent="0.3">
      <c r="B301" s="102" t="str">
        <f xml:space="preserve"> 'Facility Detail'!$B$465 &amp; " Surplus Applied to " &amp; ( 'Facility Detail'!$B$465 + 1 )</f>
        <v>2012 Surplus Applied to 2013</v>
      </c>
      <c r="C301" s="89"/>
      <c r="D301" s="3"/>
      <c r="E301" s="75">
        <f>D301</f>
        <v>0</v>
      </c>
      <c r="F301" s="164"/>
      <c r="G301" s="77"/>
      <c r="H301" s="39"/>
      <c r="I301" s="39"/>
      <c r="J301" s="39"/>
      <c r="K301" s="41"/>
    </row>
    <row r="302" spans="1:11" x14ac:dyDescent="0.3">
      <c r="B302" s="102" t="str">
        <f xml:space="preserve"> ( 'Facility Detail'!$B$465 + 1 ) &amp; " Surplus Applied to " &amp; ( 'Facility Detail'!$B$465 )</f>
        <v>2013 Surplus Applied to 2012</v>
      </c>
      <c r="C302" s="89"/>
      <c r="D302" s="165">
        <f>E302</f>
        <v>0</v>
      </c>
      <c r="E302" s="10"/>
      <c r="F302" s="96"/>
      <c r="G302" s="95"/>
      <c r="H302" s="39"/>
      <c r="I302" s="39"/>
      <c r="J302" s="39"/>
      <c r="K302" s="41"/>
    </row>
    <row r="303" spans="1:11" x14ac:dyDescent="0.3">
      <c r="B303" s="102" t="str">
        <f xml:space="preserve"> ( 'Facility Detail'!$B$465 + 1 ) &amp; " Surplus Applied to " &amp; ( 'Facility Detail'!$B$465 + 2 )</f>
        <v>2013 Surplus Applied to 2014</v>
      </c>
      <c r="C303" s="89"/>
      <c r="D303" s="78"/>
      <c r="E303" s="10"/>
      <c r="F303" s="88">
        <f>E303</f>
        <v>0</v>
      </c>
      <c r="G303" s="95"/>
      <c r="H303" s="39"/>
      <c r="I303" s="39"/>
      <c r="J303" s="39"/>
      <c r="K303" s="41"/>
    </row>
    <row r="304" spans="1:11" x14ac:dyDescent="0.3">
      <c r="B304" s="102" t="str">
        <f xml:space="preserve"> ( 'Facility Detail'!$B$465 + 2 ) &amp; " Surplus Applied to " &amp; ( 'Facility Detail'!$B$465 + 1 )</f>
        <v>2014 Surplus Applied to 2013</v>
      </c>
      <c r="C304" s="89"/>
      <c r="D304" s="78"/>
      <c r="E304" s="88">
        <f>F304</f>
        <v>0</v>
      </c>
      <c r="F304" s="10"/>
      <c r="G304" s="95"/>
      <c r="H304" s="39"/>
      <c r="I304" s="39"/>
      <c r="J304" s="39"/>
      <c r="K304" s="41"/>
    </row>
    <row r="305" spans="1:11" x14ac:dyDescent="0.3">
      <c r="B305" s="102" t="str">
        <f xml:space="preserve"> ( 'Facility Detail'!$B$465 + 2 ) &amp; " Surplus Applied to " &amp; ( 'Facility Detail'!$B$465 + 3 )</f>
        <v>2014 Surplus Applied to 2015</v>
      </c>
      <c r="C305" s="41"/>
      <c r="D305" s="78"/>
      <c r="E305" s="96"/>
      <c r="F305" s="10"/>
      <c r="G305" s="166">
        <f>F305</f>
        <v>0</v>
      </c>
      <c r="H305" s="39"/>
      <c r="I305" s="39"/>
      <c r="J305" s="39"/>
      <c r="K305" s="41"/>
    </row>
    <row r="306" spans="1:11" x14ac:dyDescent="0.3">
      <c r="B306" s="102" t="str">
        <f xml:space="preserve"> ( 'Facility Detail'!$B$465 +3 ) &amp; " Surplus Applied to " &amp; ( 'Facility Detail'!$B$465 + 2 )</f>
        <v>2015 Surplus Applied to 2014</v>
      </c>
      <c r="C306" s="41"/>
      <c r="D306" s="79"/>
      <c r="E306" s="97"/>
      <c r="F306" s="76">
        <f>G306</f>
        <v>0</v>
      </c>
      <c r="G306" s="167"/>
      <c r="H306" s="39"/>
      <c r="I306" s="39"/>
      <c r="J306" s="39"/>
      <c r="K306" s="41"/>
    </row>
    <row r="307" spans="1:11" x14ac:dyDescent="0.3">
      <c r="B307" s="44" t="s">
        <v>34</v>
      </c>
      <c r="D307" s="7">
        <f xml:space="preserve"> D302 - D301</f>
        <v>0</v>
      </c>
      <c r="E307" s="7">
        <f xml:space="preserve"> E301 + E304 - E303 - E302</f>
        <v>0</v>
      </c>
      <c r="F307" s="7">
        <f>F303+F306-F304-F305</f>
        <v>0</v>
      </c>
      <c r="G307" s="7">
        <f>G305-G306</f>
        <v>0</v>
      </c>
      <c r="H307" s="39"/>
      <c r="I307" s="39"/>
      <c r="J307" s="39"/>
      <c r="K307" s="41"/>
    </row>
    <row r="308" spans="1:11" x14ac:dyDescent="0.3">
      <c r="B308" s="6"/>
      <c r="D308" s="7"/>
      <c r="E308" s="7"/>
      <c r="F308" s="7"/>
      <c r="G308" s="7"/>
      <c r="H308" s="39"/>
      <c r="I308" s="39"/>
      <c r="J308" s="39"/>
      <c r="K308" s="41"/>
    </row>
    <row r="309" spans="1:11" x14ac:dyDescent="0.3">
      <c r="B309" s="109" t="s">
        <v>30</v>
      </c>
      <c r="C309" s="89"/>
      <c r="D309" s="125"/>
      <c r="E309" s="126"/>
      <c r="F309" s="127"/>
      <c r="G309" s="127"/>
      <c r="H309" s="39"/>
      <c r="I309" s="39"/>
      <c r="J309" s="39"/>
      <c r="K309" s="41"/>
    </row>
    <row r="310" spans="1:11" x14ac:dyDescent="0.3">
      <c r="B310" s="6"/>
      <c r="D310" s="7"/>
      <c r="E310" s="7"/>
      <c r="F310" s="7"/>
      <c r="G310" s="7"/>
      <c r="H310" s="39"/>
      <c r="I310" s="39"/>
      <c r="J310" s="39"/>
      <c r="K310" s="41"/>
    </row>
    <row r="311" spans="1:11" ht="15.6" x14ac:dyDescent="0.3">
      <c r="A311" s="105" t="s">
        <v>42</v>
      </c>
      <c r="C311" s="89"/>
      <c r="D311" s="57">
        <f xml:space="preserve"> D287 + D292 - D298 + D307 + D309</f>
        <v>14529</v>
      </c>
      <c r="E311" s="58">
        <f xml:space="preserve"> E287 + E292 - E298 + E307 + E309</f>
        <v>14528.592942067989</v>
      </c>
      <c r="F311" s="59">
        <f xml:space="preserve"> F287 + F292 - F298 + F307 + F309</f>
        <v>14528.592942067989</v>
      </c>
      <c r="G311" s="59">
        <f xml:space="preserve"> G287 + G292 - G298 + G307 + G309</f>
        <v>14528.592942067989</v>
      </c>
      <c r="H311" s="39"/>
      <c r="I311" s="39"/>
      <c r="J311" s="39"/>
      <c r="K311" s="41"/>
    </row>
    <row r="312" spans="1:11" x14ac:dyDescent="0.3">
      <c r="B312" s="6"/>
      <c r="D312" s="7"/>
      <c r="E312" s="7"/>
      <c r="F312" s="7"/>
      <c r="G312" s="39"/>
      <c r="H312" s="39"/>
      <c r="I312" s="39"/>
      <c r="J312" s="39"/>
      <c r="K312" s="41"/>
    </row>
    <row r="313" spans="1:11" ht="15" thickBot="1" x14ac:dyDescent="0.35">
      <c r="H313" s="41"/>
      <c r="I313" s="41"/>
      <c r="J313" s="41"/>
      <c r="K313" s="41"/>
    </row>
    <row r="314" spans="1:11" x14ac:dyDescent="0.3">
      <c r="A314" s="8"/>
      <c r="B314" s="8"/>
      <c r="C314" s="8"/>
      <c r="D314" s="8"/>
      <c r="E314" s="8"/>
      <c r="F314" s="8"/>
      <c r="G314" s="8"/>
      <c r="H314" s="41"/>
      <c r="I314" s="41"/>
      <c r="J314" s="41"/>
      <c r="K314" s="41"/>
    </row>
    <row r="315" spans="1:11" x14ac:dyDescent="0.3">
      <c r="B315" s="41"/>
      <c r="C315" s="41"/>
      <c r="D315" s="41"/>
      <c r="E315" s="41"/>
      <c r="F315" s="41"/>
      <c r="G315" s="41"/>
      <c r="H315" s="41"/>
      <c r="I315" s="41"/>
      <c r="J315" s="41"/>
      <c r="K315" s="41"/>
    </row>
    <row r="316" spans="1:11" ht="21" x14ac:dyDescent="0.4">
      <c r="A316" s="16" t="s">
        <v>4</v>
      </c>
      <c r="B316" s="16"/>
      <c r="C316" s="54" t="str">
        <f>B10</f>
        <v>Noxon Rapids #4</v>
      </c>
      <c r="D316" s="55"/>
      <c r="E316" s="26"/>
      <c r="F316" s="26"/>
      <c r="I316" s="41"/>
      <c r="J316" s="41"/>
      <c r="K316" s="41"/>
    </row>
    <row r="317" spans="1:11" x14ac:dyDescent="0.3">
      <c r="I317" s="41"/>
      <c r="J317" s="41"/>
      <c r="K317" s="41"/>
    </row>
    <row r="318" spans="1:11" ht="18" x14ac:dyDescent="0.35">
      <c r="A318" s="9" t="s">
        <v>98</v>
      </c>
      <c r="B318" s="9"/>
      <c r="D318" s="2">
        <v>2012</v>
      </c>
      <c r="E318" s="2">
        <f>D318+1</f>
        <v>2013</v>
      </c>
      <c r="F318" s="2">
        <f>E318+1</f>
        <v>2014</v>
      </c>
      <c r="G318" s="2">
        <f>F318+1</f>
        <v>2015</v>
      </c>
      <c r="H318" s="28"/>
      <c r="I318" s="28"/>
      <c r="J318" s="28"/>
      <c r="K318" s="41"/>
    </row>
    <row r="319" spans="1:11" x14ac:dyDescent="0.3">
      <c r="B319" s="102" t="str">
        <f>"Total MWh Produced / Purchased from " &amp; C316</f>
        <v>Total MWh Produced / Purchased from Noxon Rapids #4</v>
      </c>
      <c r="C319" s="89"/>
      <c r="D319" s="3">
        <v>10934</v>
      </c>
      <c r="E319" s="4">
        <v>12024</v>
      </c>
      <c r="F319" s="5">
        <v>12024</v>
      </c>
      <c r="G319" s="5">
        <v>12024</v>
      </c>
      <c r="H319" s="27"/>
      <c r="I319" s="27"/>
      <c r="J319" s="27"/>
      <c r="K319" s="41"/>
    </row>
    <row r="320" spans="1:11" x14ac:dyDescent="0.3">
      <c r="B320" s="102" t="s">
        <v>41</v>
      </c>
      <c r="C320" s="89"/>
      <c r="D320" s="69">
        <v>1</v>
      </c>
      <c r="E320" s="70">
        <v>1</v>
      </c>
      <c r="F320" s="71">
        <v>1</v>
      </c>
      <c r="G320" s="71">
        <v>1</v>
      </c>
      <c r="H320" s="27"/>
      <c r="I320" s="27"/>
      <c r="J320" s="27"/>
      <c r="K320" s="41"/>
    </row>
    <row r="321" spans="1:11" x14ac:dyDescent="0.3">
      <c r="B321" s="102" t="s">
        <v>35</v>
      </c>
      <c r="C321" s="89"/>
      <c r="D321" s="62">
        <v>1</v>
      </c>
      <c r="E321" s="63">
        <v>1</v>
      </c>
      <c r="F321" s="64">
        <v>1</v>
      </c>
      <c r="G321" s="64">
        <v>1</v>
      </c>
      <c r="H321" s="27"/>
      <c r="I321" s="27"/>
      <c r="J321" s="27"/>
      <c r="K321" s="41"/>
    </row>
    <row r="322" spans="1:11" x14ac:dyDescent="0.3">
      <c r="B322" s="99" t="s">
        <v>37</v>
      </c>
      <c r="C322" s="100"/>
      <c r="D322" s="49">
        <f xml:space="preserve"> D319 * D320 * D321</f>
        <v>10934</v>
      </c>
      <c r="E322" s="49">
        <f xml:space="preserve"> E319 * E320 * E321</f>
        <v>12024</v>
      </c>
      <c r="F322" s="49">
        <f xml:space="preserve"> F319 * F320 * F321</f>
        <v>12024</v>
      </c>
      <c r="G322" s="49">
        <f xml:space="preserve"> G319 * G320 * G321</f>
        <v>12024</v>
      </c>
      <c r="H322" s="27"/>
      <c r="I322" s="27"/>
      <c r="J322" s="27"/>
      <c r="K322" s="41"/>
    </row>
    <row r="323" spans="1:11" x14ac:dyDescent="0.3">
      <c r="B323" s="26"/>
      <c r="C323" s="41"/>
      <c r="D323" s="48"/>
      <c r="E323" s="48"/>
      <c r="F323" s="48"/>
      <c r="G323" s="48"/>
      <c r="H323" s="27"/>
      <c r="I323" s="27"/>
      <c r="J323" s="27"/>
      <c r="K323" s="41"/>
    </row>
    <row r="324" spans="1:11" ht="18" x14ac:dyDescent="0.35">
      <c r="A324" s="56" t="s">
        <v>39</v>
      </c>
      <c r="C324" s="41"/>
      <c r="D324" s="2">
        <v>2012</v>
      </c>
      <c r="E324" s="2">
        <f>D324+1</f>
        <v>2013</v>
      </c>
      <c r="F324" s="2">
        <f>E324+1</f>
        <v>2014</v>
      </c>
      <c r="G324" s="2">
        <f>F324+1</f>
        <v>2015</v>
      </c>
      <c r="H324" s="27"/>
      <c r="I324" s="27"/>
      <c r="J324" s="27"/>
      <c r="K324" s="41"/>
    </row>
    <row r="325" spans="1:11" x14ac:dyDescent="0.3">
      <c r="B325" s="102" t="s">
        <v>28</v>
      </c>
      <c r="C325" s="89"/>
      <c r="D325" s="65">
        <f>IF( $E10 = "Eligible", D322 * 'Facility Detail'!$B$462, 0 )</f>
        <v>0</v>
      </c>
      <c r="E325" s="13">
        <f>IF( $E10 = "Eligible", E322 * 'Facility Detail'!$B$462, 0 )</f>
        <v>0</v>
      </c>
      <c r="F325" s="14">
        <f>IF( $E10 = "Eligible", F322 * 'Facility Detail'!$B$462, 0 )</f>
        <v>0</v>
      </c>
      <c r="G325" s="14">
        <f>IF( $E10 = "Eligible", G322 * 'Facility Detail'!$B$462, 0 )</f>
        <v>0</v>
      </c>
      <c r="H325" s="27"/>
      <c r="I325" s="27"/>
      <c r="J325" s="27"/>
      <c r="K325" s="41"/>
    </row>
    <row r="326" spans="1:11" x14ac:dyDescent="0.3">
      <c r="B326" s="102" t="s">
        <v>6</v>
      </c>
      <c r="C326" s="89"/>
      <c r="D326" s="66">
        <f>IF( $F10 = "Eligible", D322, 0 )</f>
        <v>0</v>
      </c>
      <c r="E326" s="67">
        <f>IF( $F10 = "Eligible", E322, 0 )</f>
        <v>0</v>
      </c>
      <c r="F326" s="68">
        <f>IF( $F10 = "Eligible", F322, 0 )</f>
        <v>0</v>
      </c>
      <c r="G326" s="68">
        <f>IF( $F10 = "Eligible", G322, 0 )</f>
        <v>0</v>
      </c>
      <c r="H326" s="27"/>
      <c r="I326" s="27"/>
      <c r="J326" s="27"/>
      <c r="K326" s="41"/>
    </row>
    <row r="327" spans="1:11" x14ac:dyDescent="0.3">
      <c r="B327" s="101" t="s">
        <v>48</v>
      </c>
      <c r="C327" s="100"/>
      <c r="D327" s="51">
        <f>SUM(D325:D326)</f>
        <v>0</v>
      </c>
      <c r="E327" s="52">
        <f>SUM(E325:E326)</f>
        <v>0</v>
      </c>
      <c r="F327" s="52">
        <f>SUM(F325:F326)</f>
        <v>0</v>
      </c>
      <c r="G327" s="52">
        <f>SUM(G325:G326)</f>
        <v>0</v>
      </c>
      <c r="H327" s="27"/>
      <c r="I327" s="27"/>
      <c r="J327" s="27"/>
      <c r="K327" s="41"/>
    </row>
    <row r="328" spans="1:11" x14ac:dyDescent="0.3">
      <c r="B328" s="41"/>
      <c r="C328" s="41"/>
      <c r="D328" s="50"/>
      <c r="E328" s="42"/>
      <c r="F328" s="42"/>
      <c r="G328" s="42"/>
      <c r="H328" s="27"/>
      <c r="I328" s="27"/>
      <c r="J328" s="27"/>
      <c r="K328" s="41"/>
    </row>
    <row r="329" spans="1:11" ht="18" x14ac:dyDescent="0.35">
      <c r="A329" s="53" t="s">
        <v>46</v>
      </c>
      <c r="C329" s="41"/>
      <c r="D329" s="2">
        <v>2012</v>
      </c>
      <c r="E329" s="2">
        <f>D329+1</f>
        <v>2013</v>
      </c>
      <c r="F329" s="2">
        <f>E329+1</f>
        <v>2014</v>
      </c>
      <c r="G329" s="2">
        <f>F329+1</f>
        <v>2015</v>
      </c>
      <c r="H329" s="27"/>
      <c r="I329" s="27"/>
      <c r="J329" s="27"/>
      <c r="K329" s="41"/>
    </row>
    <row r="330" spans="1:11" x14ac:dyDescent="0.3">
      <c r="B330" s="102" t="s">
        <v>50</v>
      </c>
      <c r="C330" s="89"/>
      <c r="D330" s="110">
        <v>0</v>
      </c>
      <c r="E330" s="111">
        <v>0</v>
      </c>
      <c r="F330" s="112">
        <v>0</v>
      </c>
      <c r="G330" s="112">
        <v>0</v>
      </c>
      <c r="H330" s="27"/>
      <c r="I330" s="27"/>
      <c r="J330" s="27"/>
      <c r="K330" s="41"/>
    </row>
    <row r="331" spans="1:11" x14ac:dyDescent="0.3">
      <c r="B331" s="103" t="s">
        <v>38</v>
      </c>
      <c r="C331" s="104"/>
      <c r="D331" s="113">
        <v>0</v>
      </c>
      <c r="E331" s="114">
        <v>0</v>
      </c>
      <c r="F331" s="115">
        <v>0</v>
      </c>
      <c r="G331" s="115">
        <v>0</v>
      </c>
      <c r="H331" s="27"/>
      <c r="I331" s="27"/>
      <c r="J331" s="27"/>
      <c r="K331" s="41"/>
    </row>
    <row r="332" spans="1:11" x14ac:dyDescent="0.3">
      <c r="B332" s="116" t="s">
        <v>52</v>
      </c>
      <c r="C332" s="108"/>
      <c r="D332" s="72">
        <v>0</v>
      </c>
      <c r="E332" s="73">
        <v>0</v>
      </c>
      <c r="F332" s="74">
        <v>0</v>
      </c>
      <c r="G332" s="74">
        <v>0</v>
      </c>
      <c r="H332" s="27"/>
      <c r="I332" s="27"/>
      <c r="J332" s="27"/>
      <c r="K332" s="41"/>
    </row>
    <row r="333" spans="1:11" x14ac:dyDescent="0.3">
      <c r="B333" s="44" t="s">
        <v>53</v>
      </c>
      <c r="D333" s="7">
        <f>SUM(D330:D332)</f>
        <v>0</v>
      </c>
      <c r="E333" s="7">
        <f>SUM(E330:E332)</f>
        <v>0</v>
      </c>
      <c r="F333" s="7">
        <f>SUM(F330:F332)</f>
        <v>0</v>
      </c>
      <c r="G333" s="7">
        <f>SUM(G330:G332)</f>
        <v>0</v>
      </c>
      <c r="H333" s="39"/>
      <c r="I333" s="39"/>
      <c r="J333" s="39"/>
      <c r="K333" s="41"/>
    </row>
    <row r="334" spans="1:11" x14ac:dyDescent="0.3">
      <c r="B334" s="6"/>
      <c r="D334" s="7"/>
      <c r="E334" s="7"/>
      <c r="F334" s="7"/>
      <c r="G334" s="7"/>
      <c r="H334" s="39"/>
      <c r="I334" s="39"/>
      <c r="J334" s="39"/>
      <c r="K334" s="41"/>
    </row>
    <row r="335" spans="1:11" ht="18" x14ac:dyDescent="0.35">
      <c r="A335" s="9" t="s">
        <v>54</v>
      </c>
      <c r="D335" s="2">
        <v>2012</v>
      </c>
      <c r="E335" s="2">
        <f>D335+1</f>
        <v>2013</v>
      </c>
      <c r="F335" s="2">
        <f>E335+1</f>
        <v>2014</v>
      </c>
      <c r="G335" s="2">
        <f>F335+1</f>
        <v>2015</v>
      </c>
      <c r="H335" s="39"/>
      <c r="I335" s="39"/>
      <c r="J335" s="39"/>
      <c r="K335" s="41"/>
    </row>
    <row r="336" spans="1:11" x14ac:dyDescent="0.3">
      <c r="B336" s="102" t="str">
        <f xml:space="preserve"> 'Facility Detail'!$B$465 &amp; " Surplus Applied to " &amp; ( 'Facility Detail'!$B$465 + 1 )</f>
        <v>2012 Surplus Applied to 2013</v>
      </c>
      <c r="C336" s="89"/>
      <c r="D336" s="3"/>
      <c r="E336" s="75">
        <f>D336</f>
        <v>0</v>
      </c>
      <c r="F336" s="164"/>
      <c r="G336" s="77"/>
      <c r="H336" s="39"/>
      <c r="I336" s="39"/>
      <c r="J336" s="39"/>
      <c r="K336" s="41"/>
    </row>
    <row r="337" spans="1:11" x14ac:dyDescent="0.3">
      <c r="B337" s="102" t="str">
        <f xml:space="preserve"> ( 'Facility Detail'!$B$465 + 1 ) &amp; " Surplus Applied to " &amp; ( 'Facility Detail'!$B$465 )</f>
        <v>2013 Surplus Applied to 2012</v>
      </c>
      <c r="C337" s="89"/>
      <c r="D337" s="165">
        <f>E337</f>
        <v>0</v>
      </c>
      <c r="E337" s="10"/>
      <c r="F337" s="96"/>
      <c r="G337" s="95"/>
      <c r="H337" s="39"/>
      <c r="I337" s="39"/>
      <c r="J337" s="39"/>
      <c r="K337" s="41"/>
    </row>
    <row r="338" spans="1:11" x14ac:dyDescent="0.3">
      <c r="B338" s="102" t="str">
        <f xml:space="preserve"> ( 'Facility Detail'!$B$465 + 1 ) &amp; " Surplus Applied to " &amp; ( 'Facility Detail'!$B$465 + 2 )</f>
        <v>2013 Surplus Applied to 2014</v>
      </c>
      <c r="C338" s="89"/>
      <c r="D338" s="78"/>
      <c r="E338" s="10"/>
      <c r="F338" s="88">
        <f>E338</f>
        <v>0</v>
      </c>
      <c r="G338" s="95"/>
      <c r="H338" s="39"/>
      <c r="I338" s="39"/>
      <c r="J338" s="39"/>
      <c r="K338" s="41"/>
    </row>
    <row r="339" spans="1:11" x14ac:dyDescent="0.3">
      <c r="B339" s="102" t="str">
        <f xml:space="preserve"> ( 'Facility Detail'!$B$465 + 2 ) &amp; " Surplus Applied to " &amp; ( 'Facility Detail'!$B$465 + 1 )</f>
        <v>2014 Surplus Applied to 2013</v>
      </c>
      <c r="C339" s="89"/>
      <c r="D339" s="78"/>
      <c r="E339" s="88">
        <f>F339</f>
        <v>0</v>
      </c>
      <c r="F339" s="10"/>
      <c r="G339" s="95"/>
      <c r="H339" s="39"/>
      <c r="I339" s="39"/>
      <c r="J339" s="39"/>
      <c r="K339" s="41"/>
    </row>
    <row r="340" spans="1:11" x14ac:dyDescent="0.3">
      <c r="B340" s="102" t="str">
        <f xml:space="preserve"> ( 'Facility Detail'!$B$465 + 2 ) &amp; " Surplus Applied to " &amp; ( 'Facility Detail'!$B$465 + 3 )</f>
        <v>2014 Surplus Applied to 2015</v>
      </c>
      <c r="C340" s="41"/>
      <c r="D340" s="78"/>
      <c r="E340" s="96"/>
      <c r="F340" s="10"/>
      <c r="G340" s="166">
        <f>F340</f>
        <v>0</v>
      </c>
      <c r="H340" s="39"/>
      <c r="I340" s="39"/>
      <c r="J340" s="39"/>
      <c r="K340" s="41"/>
    </row>
    <row r="341" spans="1:11" x14ac:dyDescent="0.3">
      <c r="B341" s="102" t="str">
        <f xml:space="preserve"> ( 'Facility Detail'!$B$465 +3 ) &amp; " Surplus Applied to " &amp; ( 'Facility Detail'!$B$465 + 2 )</f>
        <v>2015 Surplus Applied to 2014</v>
      </c>
      <c r="C341" s="41"/>
      <c r="D341" s="79"/>
      <c r="E341" s="97"/>
      <c r="F341" s="76">
        <f>G341</f>
        <v>0</v>
      </c>
      <c r="G341" s="167"/>
      <c r="H341" s="39"/>
      <c r="I341" s="39"/>
      <c r="J341" s="39"/>
      <c r="K341" s="41"/>
    </row>
    <row r="342" spans="1:11" x14ac:dyDescent="0.3">
      <c r="B342" s="44" t="s">
        <v>34</v>
      </c>
      <c r="D342" s="7">
        <f xml:space="preserve"> D337 - D336</f>
        <v>0</v>
      </c>
      <c r="E342" s="7">
        <f xml:space="preserve"> E336 + E339 - E338 - E337</f>
        <v>0</v>
      </c>
      <c r="F342" s="7">
        <f>F338+F341-F339-F340</f>
        <v>0</v>
      </c>
      <c r="G342" s="7">
        <f>G340-G341</f>
        <v>0</v>
      </c>
      <c r="H342" s="39"/>
      <c r="I342" s="39"/>
      <c r="J342" s="39"/>
      <c r="K342" s="41"/>
    </row>
    <row r="343" spans="1:11" x14ac:dyDescent="0.3">
      <c r="B343" s="6"/>
      <c r="D343" s="7"/>
      <c r="E343" s="7"/>
      <c r="F343" s="7"/>
      <c r="G343" s="7"/>
      <c r="H343" s="39"/>
      <c r="I343" s="39"/>
      <c r="J343" s="39"/>
      <c r="K343" s="41"/>
    </row>
    <row r="344" spans="1:11" x14ac:dyDescent="0.3">
      <c r="B344" s="109" t="s">
        <v>30</v>
      </c>
      <c r="C344" s="89"/>
      <c r="D344" s="125"/>
      <c r="E344" s="126"/>
      <c r="F344" s="127"/>
      <c r="G344" s="127"/>
      <c r="H344" s="39"/>
      <c r="I344" s="39"/>
      <c r="J344" s="39"/>
      <c r="K344" s="41"/>
    </row>
    <row r="345" spans="1:11" x14ac:dyDescent="0.3">
      <c r="B345" s="6"/>
      <c r="D345" s="7"/>
      <c r="E345" s="7"/>
      <c r="F345" s="7"/>
      <c r="G345" s="7"/>
      <c r="H345" s="39"/>
      <c r="I345" s="39"/>
      <c r="J345" s="39"/>
      <c r="K345" s="41"/>
    </row>
    <row r="346" spans="1:11" ht="15.6" x14ac:dyDescent="0.3">
      <c r="A346" s="105" t="s">
        <v>42</v>
      </c>
      <c r="C346" s="89"/>
      <c r="D346" s="57">
        <f xml:space="preserve"> D322 + D327 - D333 + D342 + D344</f>
        <v>10934</v>
      </c>
      <c r="E346" s="58">
        <f xml:space="preserve"> E322 + E327 - E333 + E342 + E344</f>
        <v>12024</v>
      </c>
      <c r="F346" s="59">
        <f xml:space="preserve"> F322 + F327 - F333 + F342 + F344</f>
        <v>12024</v>
      </c>
      <c r="G346" s="59">
        <f xml:space="preserve"> G322 + G327 - G333 + G342 + G344</f>
        <v>12024</v>
      </c>
      <c r="H346" s="39"/>
      <c r="I346" s="39"/>
      <c r="J346" s="39"/>
      <c r="K346" s="41"/>
    </row>
    <row r="347" spans="1:11" x14ac:dyDescent="0.3">
      <c r="B347" s="6"/>
      <c r="D347" s="7"/>
      <c r="E347" s="7"/>
      <c r="F347" s="7"/>
      <c r="G347" s="39"/>
      <c r="H347" s="39"/>
      <c r="I347" s="39"/>
      <c r="J347" s="39"/>
      <c r="K347" s="41"/>
    </row>
    <row r="348" spans="1:11" ht="15" thickBot="1" x14ac:dyDescent="0.35">
      <c r="A348" s="1" t="s">
        <v>99</v>
      </c>
      <c r="H348" s="41"/>
      <c r="I348" s="41"/>
      <c r="J348" s="41"/>
      <c r="K348" s="41"/>
    </row>
    <row r="349" spans="1:11" x14ac:dyDescent="0.3">
      <c r="A349" s="8"/>
      <c r="B349" s="8"/>
      <c r="C349" s="8"/>
      <c r="D349" s="8"/>
      <c r="E349" s="8"/>
      <c r="F349" s="8"/>
      <c r="G349" s="8"/>
      <c r="H349" s="41"/>
      <c r="I349" s="41"/>
      <c r="J349" s="41"/>
      <c r="K349" s="41"/>
    </row>
    <row r="350" spans="1:11" x14ac:dyDescent="0.3">
      <c r="B350" s="41"/>
      <c r="C350" s="41"/>
      <c r="D350" s="41"/>
      <c r="E350" s="41"/>
      <c r="F350" s="41"/>
      <c r="G350" s="41"/>
      <c r="H350" s="41"/>
      <c r="I350" s="41"/>
      <c r="J350" s="41"/>
      <c r="K350" s="41"/>
    </row>
    <row r="351" spans="1:11" ht="21" x14ac:dyDescent="0.4">
      <c r="A351" s="16" t="s">
        <v>4</v>
      </c>
      <c r="B351" s="16"/>
      <c r="C351" s="54" t="str">
        <f>B11</f>
        <v>Wanapum Fish Bypass</v>
      </c>
      <c r="D351" s="55"/>
      <c r="E351" s="26"/>
      <c r="F351" s="26"/>
      <c r="I351" s="41"/>
      <c r="J351" s="41"/>
      <c r="K351" s="41"/>
    </row>
    <row r="352" spans="1:11" x14ac:dyDescent="0.3">
      <c r="I352" s="41"/>
      <c r="J352" s="41"/>
      <c r="K352" s="41"/>
    </row>
    <row r="353" spans="1:11" ht="18" x14ac:dyDescent="0.35">
      <c r="A353" s="9" t="s">
        <v>100</v>
      </c>
      <c r="B353" s="9"/>
      <c r="D353" s="2">
        <v>2012</v>
      </c>
      <c r="E353" s="2">
        <f>D353+1</f>
        <v>2013</v>
      </c>
      <c r="F353" s="2">
        <f>E353+1</f>
        <v>2014</v>
      </c>
      <c r="G353" s="2">
        <f>F353+1</f>
        <v>2015</v>
      </c>
      <c r="H353" s="28"/>
      <c r="I353" s="28"/>
      <c r="J353" s="28"/>
      <c r="K353" s="41"/>
    </row>
    <row r="354" spans="1:11" x14ac:dyDescent="0.3">
      <c r="B354" s="102" t="str">
        <f>"Total MWh Produced / Purchased from " &amp; C351</f>
        <v>Total MWh Produced / Purchased from Wanapum Fish Bypass</v>
      </c>
      <c r="C354" s="89"/>
      <c r="D354" s="3">
        <v>22206</v>
      </c>
      <c r="E354" s="4">
        <v>21927</v>
      </c>
      <c r="F354" s="5">
        <v>0</v>
      </c>
      <c r="G354" s="5">
        <v>0</v>
      </c>
      <c r="H354" s="27"/>
      <c r="I354" s="27"/>
      <c r="J354" s="27"/>
      <c r="K354" s="41"/>
    </row>
    <row r="355" spans="1:11" x14ac:dyDescent="0.3">
      <c r="B355" s="102" t="s">
        <v>41</v>
      </c>
      <c r="C355" s="89"/>
      <c r="D355" s="69">
        <v>1</v>
      </c>
      <c r="E355" s="70">
        <v>1</v>
      </c>
      <c r="F355" s="71">
        <v>1</v>
      </c>
      <c r="G355" s="71">
        <v>1</v>
      </c>
      <c r="H355" s="27"/>
      <c r="I355" s="27"/>
      <c r="J355" s="27"/>
      <c r="K355" s="41"/>
    </row>
    <row r="356" spans="1:11" x14ac:dyDescent="0.3">
      <c r="B356" s="102" t="s">
        <v>35</v>
      </c>
      <c r="C356" s="89"/>
      <c r="D356" s="62">
        <v>1</v>
      </c>
      <c r="E356" s="63">
        <v>1</v>
      </c>
      <c r="F356" s="64">
        <v>1</v>
      </c>
      <c r="G356" s="64">
        <v>1</v>
      </c>
      <c r="H356" s="27"/>
      <c r="I356" s="27"/>
      <c r="J356" s="27"/>
      <c r="K356" s="41"/>
    </row>
    <row r="357" spans="1:11" x14ac:dyDescent="0.3">
      <c r="B357" s="99" t="s">
        <v>37</v>
      </c>
      <c r="C357" s="100"/>
      <c r="D357" s="49">
        <f xml:space="preserve"> D354 * D355 * D356</f>
        <v>22206</v>
      </c>
      <c r="E357" s="49">
        <f xml:space="preserve"> E354 * E355 * E356</f>
        <v>21927</v>
      </c>
      <c r="F357" s="49">
        <f xml:space="preserve"> F354 * F355 * F356</f>
        <v>0</v>
      </c>
      <c r="G357" s="49">
        <f xml:space="preserve"> G354 * G355 * G356</f>
        <v>0</v>
      </c>
      <c r="H357" s="27"/>
      <c r="I357" s="27"/>
      <c r="J357" s="27"/>
      <c r="K357" s="41"/>
    </row>
    <row r="358" spans="1:11" x14ac:dyDescent="0.3">
      <c r="B358" s="26"/>
      <c r="C358" s="41"/>
      <c r="D358" s="48"/>
      <c r="E358" s="48"/>
      <c r="F358" s="48"/>
      <c r="G358" s="48"/>
      <c r="H358" s="27"/>
      <c r="I358" s="27"/>
      <c r="J358" s="27"/>
      <c r="K358" s="41"/>
    </row>
    <row r="359" spans="1:11" ht="18" x14ac:dyDescent="0.35">
      <c r="A359" s="56" t="s">
        <v>39</v>
      </c>
      <c r="C359" s="41"/>
      <c r="D359" s="2">
        <v>2012</v>
      </c>
      <c r="E359" s="2">
        <f>D359+1</f>
        <v>2013</v>
      </c>
      <c r="F359" s="2">
        <f>E359+1</f>
        <v>2014</v>
      </c>
      <c r="G359" s="2">
        <f>F359+1</f>
        <v>2015</v>
      </c>
      <c r="H359" s="27"/>
      <c r="I359" s="27"/>
      <c r="J359" s="27"/>
      <c r="K359" s="41"/>
    </row>
    <row r="360" spans="1:11" x14ac:dyDescent="0.3">
      <c r="B360" s="102" t="s">
        <v>28</v>
      </c>
      <c r="C360" s="89"/>
      <c r="D360" s="65">
        <f>IF( $E11 = "Eligible", D357 * 'Facility Detail'!$B$462, 0 )</f>
        <v>0</v>
      </c>
      <c r="E360" s="13">
        <f>IF( $E11 = "Eligible", E357 * 'Facility Detail'!$B$462, 0 )</f>
        <v>0</v>
      </c>
      <c r="F360" s="14">
        <f>IF( $E11 = "Eligible", F357 * 'Facility Detail'!$B$462, 0 )</f>
        <v>0</v>
      </c>
      <c r="G360" s="14">
        <f>IF( $E11 = "Eligible", G357 * 'Facility Detail'!$B$462, 0 )</f>
        <v>0</v>
      </c>
      <c r="H360" s="27"/>
      <c r="I360" s="27"/>
      <c r="J360" s="27"/>
      <c r="K360" s="41"/>
    </row>
    <row r="361" spans="1:11" x14ac:dyDescent="0.3">
      <c r="B361" s="102" t="s">
        <v>6</v>
      </c>
      <c r="C361" s="89"/>
      <c r="D361" s="66">
        <f>IF( $F11 = "Eligible", D357, 0 )</f>
        <v>0</v>
      </c>
      <c r="E361" s="67">
        <f>IF( $F11 = "Eligible", E357, 0 )</f>
        <v>0</v>
      </c>
      <c r="F361" s="68">
        <f>IF( $F11 = "Eligible", F357, 0 )</f>
        <v>0</v>
      </c>
      <c r="G361" s="68">
        <f>IF( $F11 = "Eligible", G357, 0 )</f>
        <v>0</v>
      </c>
      <c r="H361" s="27"/>
      <c r="I361" s="27"/>
      <c r="J361" s="27"/>
      <c r="K361" s="41"/>
    </row>
    <row r="362" spans="1:11" x14ac:dyDescent="0.3">
      <c r="B362" s="101" t="s">
        <v>48</v>
      </c>
      <c r="C362" s="100"/>
      <c r="D362" s="51">
        <f>SUM(D360:D361)</f>
        <v>0</v>
      </c>
      <c r="E362" s="52">
        <f>SUM(E360:E361)</f>
        <v>0</v>
      </c>
      <c r="F362" s="52">
        <f>SUM(F360:F361)</f>
        <v>0</v>
      </c>
      <c r="G362" s="52">
        <f>SUM(G360:G361)</f>
        <v>0</v>
      </c>
      <c r="H362" s="27"/>
      <c r="I362" s="27"/>
      <c r="J362" s="27"/>
      <c r="K362" s="41"/>
    </row>
    <row r="363" spans="1:11" x14ac:dyDescent="0.3">
      <c r="B363" s="41"/>
      <c r="C363" s="41"/>
      <c r="D363" s="50"/>
      <c r="E363" s="42"/>
      <c r="F363" s="42"/>
      <c r="G363" s="42"/>
      <c r="H363" s="27"/>
      <c r="I363" s="27"/>
      <c r="J363" s="27"/>
      <c r="K363" s="41"/>
    </row>
    <row r="364" spans="1:11" ht="18" x14ac:dyDescent="0.35">
      <c r="A364" s="53" t="s">
        <v>46</v>
      </c>
      <c r="C364" s="41"/>
      <c r="D364" s="2">
        <v>2012</v>
      </c>
      <c r="E364" s="2">
        <f>D364+1</f>
        <v>2013</v>
      </c>
      <c r="F364" s="2">
        <f>E364+1</f>
        <v>2014</v>
      </c>
      <c r="G364" s="2">
        <f>F364+1</f>
        <v>2015</v>
      </c>
      <c r="H364" s="27"/>
      <c r="I364" s="27"/>
      <c r="J364" s="27"/>
      <c r="K364" s="41"/>
    </row>
    <row r="365" spans="1:11" x14ac:dyDescent="0.3">
      <c r="B365" s="102" t="s">
        <v>50</v>
      </c>
      <c r="C365" s="89"/>
      <c r="D365" s="110"/>
      <c r="E365" s="111"/>
      <c r="F365" s="112"/>
      <c r="G365" s="112"/>
      <c r="H365" s="27"/>
      <c r="I365" s="27"/>
      <c r="J365" s="27"/>
      <c r="K365" s="41"/>
    </row>
    <row r="366" spans="1:11" x14ac:dyDescent="0.3">
      <c r="B366" s="103" t="s">
        <v>38</v>
      </c>
      <c r="C366" s="104"/>
      <c r="D366" s="113"/>
      <c r="E366" s="114"/>
      <c r="F366" s="115"/>
      <c r="G366" s="115"/>
      <c r="H366" s="27"/>
      <c r="I366" s="27"/>
      <c r="J366" s="27"/>
      <c r="K366" s="41"/>
    </row>
    <row r="367" spans="1:11" x14ac:dyDescent="0.3">
      <c r="B367" s="116" t="s">
        <v>52</v>
      </c>
      <c r="C367" s="108"/>
      <c r="D367" s="72"/>
      <c r="E367" s="73"/>
      <c r="F367" s="74"/>
      <c r="G367" s="74"/>
      <c r="H367" s="27"/>
      <c r="I367" s="27"/>
      <c r="J367" s="27"/>
      <c r="K367" s="41"/>
    </row>
    <row r="368" spans="1:11" x14ac:dyDescent="0.3">
      <c r="B368" s="44" t="s">
        <v>53</v>
      </c>
      <c r="D368" s="7">
        <f>SUM(D365:D367)</f>
        <v>0</v>
      </c>
      <c r="E368" s="7">
        <f>SUM(E365:E367)</f>
        <v>0</v>
      </c>
      <c r="F368" s="7">
        <f>SUM(F365:F367)</f>
        <v>0</v>
      </c>
      <c r="G368" s="7">
        <f>SUM(G365:G367)</f>
        <v>0</v>
      </c>
      <c r="H368" s="39"/>
      <c r="I368" s="39"/>
      <c r="J368" s="39"/>
      <c r="K368" s="41"/>
    </row>
    <row r="369" spans="1:11" x14ac:dyDescent="0.3">
      <c r="B369" s="6"/>
      <c r="D369" s="7"/>
      <c r="E369" s="7"/>
      <c r="F369" s="7"/>
      <c r="G369" s="7"/>
      <c r="H369" s="39"/>
      <c r="I369" s="39"/>
      <c r="J369" s="39"/>
      <c r="K369" s="41"/>
    </row>
    <row r="370" spans="1:11" ht="18" x14ac:dyDescent="0.35">
      <c r="A370" s="9" t="s">
        <v>54</v>
      </c>
      <c r="D370" s="2">
        <v>2012</v>
      </c>
      <c r="E370" s="2">
        <f>D370+1</f>
        <v>2013</v>
      </c>
      <c r="F370" s="2">
        <f>E370+1</f>
        <v>2014</v>
      </c>
      <c r="G370" s="2">
        <f>F370+1</f>
        <v>2015</v>
      </c>
      <c r="H370" s="39"/>
      <c r="I370" s="39"/>
      <c r="J370" s="39"/>
      <c r="K370" s="41"/>
    </row>
    <row r="371" spans="1:11" x14ac:dyDescent="0.3">
      <c r="B371" s="102" t="str">
        <f xml:space="preserve"> 'Facility Detail'!$B$465 &amp; " Surplus Applied to " &amp; ( 'Facility Detail'!$B$465 + 1 )</f>
        <v>2012 Surplus Applied to 2013</v>
      </c>
      <c r="C371" s="89"/>
      <c r="D371" s="3"/>
      <c r="E371" s="75">
        <f>D371</f>
        <v>0</v>
      </c>
      <c r="F371" s="164"/>
      <c r="G371" s="77"/>
      <c r="H371" s="39"/>
      <c r="I371" s="39"/>
      <c r="J371" s="39"/>
      <c r="K371" s="41"/>
    </row>
    <row r="372" spans="1:11" x14ac:dyDescent="0.3">
      <c r="B372" s="102" t="str">
        <f xml:space="preserve"> ( 'Facility Detail'!$B$465 + 1 ) &amp; " Surplus Applied to " &amp; ( 'Facility Detail'!$B$465 )</f>
        <v>2013 Surplus Applied to 2012</v>
      </c>
      <c r="C372" s="89"/>
      <c r="D372" s="165">
        <f>E372</f>
        <v>0</v>
      </c>
      <c r="E372" s="10"/>
      <c r="F372" s="96"/>
      <c r="G372" s="95"/>
      <c r="H372" s="39"/>
      <c r="I372" s="39"/>
      <c r="J372" s="39"/>
      <c r="K372" s="41"/>
    </row>
    <row r="373" spans="1:11" x14ac:dyDescent="0.3">
      <c r="B373" s="102" t="str">
        <f xml:space="preserve"> ( 'Facility Detail'!$B$465 + 1 ) &amp; " Surplus Applied to " &amp; ( 'Facility Detail'!$B$465 + 2 )</f>
        <v>2013 Surplus Applied to 2014</v>
      </c>
      <c r="C373" s="89"/>
      <c r="D373" s="78"/>
      <c r="E373" s="10"/>
      <c r="F373" s="88">
        <f>E373</f>
        <v>0</v>
      </c>
      <c r="G373" s="95"/>
      <c r="H373" s="39"/>
      <c r="I373" s="39"/>
      <c r="J373" s="39"/>
      <c r="K373" s="41"/>
    </row>
    <row r="374" spans="1:11" x14ac:dyDescent="0.3">
      <c r="B374" s="102" t="str">
        <f xml:space="preserve"> ( 'Facility Detail'!$B$465 + 2 ) &amp; " Surplus Applied to " &amp; ( 'Facility Detail'!$B$465 + 1 )</f>
        <v>2014 Surplus Applied to 2013</v>
      </c>
      <c r="C374" s="89"/>
      <c r="D374" s="78"/>
      <c r="E374" s="88">
        <f>F374</f>
        <v>0</v>
      </c>
      <c r="F374" s="10"/>
      <c r="G374" s="95"/>
      <c r="H374" s="39"/>
      <c r="I374" s="39"/>
      <c r="J374" s="39"/>
      <c r="K374" s="41"/>
    </row>
    <row r="375" spans="1:11" x14ac:dyDescent="0.3">
      <c r="B375" s="102" t="str">
        <f xml:space="preserve"> ( 'Facility Detail'!$B$465 + 2 ) &amp; " Surplus Applied to " &amp; ( 'Facility Detail'!$B$465 + 3 )</f>
        <v>2014 Surplus Applied to 2015</v>
      </c>
      <c r="C375" s="41"/>
      <c r="D375" s="78"/>
      <c r="E375" s="96"/>
      <c r="F375" s="10"/>
      <c r="G375" s="166">
        <f>F375</f>
        <v>0</v>
      </c>
      <c r="H375" s="39"/>
      <c r="I375" s="39"/>
      <c r="J375" s="39"/>
      <c r="K375" s="41"/>
    </row>
    <row r="376" spans="1:11" x14ac:dyDescent="0.3">
      <c r="B376" s="102" t="str">
        <f xml:space="preserve"> ( 'Facility Detail'!$B$465 +3 ) &amp; " Surplus Applied to " &amp; ( 'Facility Detail'!$B$465 + 2 )</f>
        <v>2015 Surplus Applied to 2014</v>
      </c>
      <c r="C376" s="41"/>
      <c r="D376" s="79"/>
      <c r="E376" s="97"/>
      <c r="F376" s="76">
        <f>G376</f>
        <v>0</v>
      </c>
      <c r="G376" s="167"/>
      <c r="H376" s="39"/>
      <c r="I376" s="39"/>
      <c r="J376" s="39"/>
      <c r="K376" s="41"/>
    </row>
    <row r="377" spans="1:11" x14ac:dyDescent="0.3">
      <c r="B377" s="44" t="s">
        <v>34</v>
      </c>
      <c r="D377" s="7">
        <f xml:space="preserve"> D372 - D371</f>
        <v>0</v>
      </c>
      <c r="E377" s="7">
        <f xml:space="preserve"> E371 + E374 - E373 - E372</f>
        <v>0</v>
      </c>
      <c r="F377" s="7">
        <f>F373+F376-F374-F375</f>
        <v>0</v>
      </c>
      <c r="G377" s="7">
        <f>G375-G376</f>
        <v>0</v>
      </c>
      <c r="H377" s="39"/>
      <c r="I377" s="39"/>
      <c r="J377" s="39"/>
      <c r="K377" s="41"/>
    </row>
    <row r="378" spans="1:11" x14ac:dyDescent="0.3">
      <c r="B378" s="6"/>
      <c r="D378" s="7"/>
      <c r="E378" s="7"/>
      <c r="F378" s="7"/>
      <c r="G378" s="7"/>
      <c r="H378" s="39"/>
      <c r="I378" s="39"/>
      <c r="J378" s="39"/>
      <c r="K378" s="41"/>
    </row>
    <row r="379" spans="1:11" x14ac:dyDescent="0.3">
      <c r="B379" s="109" t="s">
        <v>30</v>
      </c>
      <c r="C379" s="89"/>
      <c r="D379" s="125"/>
      <c r="E379" s="126"/>
      <c r="F379" s="127"/>
      <c r="G379" s="127"/>
      <c r="H379" s="39"/>
      <c r="I379" s="39"/>
      <c r="J379" s="39"/>
      <c r="K379" s="41"/>
    </row>
    <row r="380" spans="1:11" x14ac:dyDescent="0.3">
      <c r="B380" s="6"/>
      <c r="D380" s="7"/>
      <c r="E380" s="7"/>
      <c r="F380" s="7"/>
      <c r="G380" s="7"/>
      <c r="H380" s="39"/>
      <c r="I380" s="39"/>
      <c r="J380" s="39"/>
      <c r="K380" s="41"/>
    </row>
    <row r="381" spans="1:11" ht="15.6" x14ac:dyDescent="0.3">
      <c r="A381" s="105" t="s">
        <v>42</v>
      </c>
      <c r="C381" s="89"/>
      <c r="D381" s="57">
        <f xml:space="preserve"> D357 + D362 - D368 + D377 + D379</f>
        <v>22206</v>
      </c>
      <c r="E381" s="58">
        <f xml:space="preserve"> E357 + E362 - E368 + E377 + E379</f>
        <v>21927</v>
      </c>
      <c r="F381" s="59">
        <f xml:space="preserve"> F357 + F362 - F368 + F377 + F379</f>
        <v>0</v>
      </c>
      <c r="G381" s="59">
        <f xml:space="preserve"> G357 + G362 - G368 + G377 + G379</f>
        <v>0</v>
      </c>
      <c r="H381" s="39"/>
      <c r="I381" s="39"/>
      <c r="J381" s="39"/>
      <c r="K381" s="41"/>
    </row>
    <row r="382" spans="1:11" x14ac:dyDescent="0.3">
      <c r="B382" s="6"/>
      <c r="D382" s="7"/>
      <c r="E382" s="7"/>
      <c r="F382" s="7"/>
      <c r="G382" s="39"/>
      <c r="H382" s="39"/>
      <c r="I382" s="39"/>
      <c r="J382" s="39"/>
      <c r="K382" s="41"/>
    </row>
    <row r="383" spans="1:11" ht="50.25" customHeight="1" thickBot="1" x14ac:dyDescent="0.35">
      <c r="A383" s="178"/>
      <c r="B383" s="178"/>
      <c r="C383" s="178"/>
      <c r="D383" s="178"/>
      <c r="E383" s="178"/>
      <c r="F383" s="178"/>
      <c r="H383" s="41"/>
      <c r="I383" s="41"/>
      <c r="J383" s="41"/>
      <c r="K383" s="41"/>
    </row>
    <row r="384" spans="1:11" x14ac:dyDescent="0.3">
      <c r="A384" s="8"/>
      <c r="B384" s="8"/>
      <c r="C384" s="8"/>
      <c r="D384" s="8"/>
      <c r="E384" s="8"/>
      <c r="F384" s="8"/>
      <c r="G384" s="8"/>
      <c r="H384" s="41"/>
      <c r="I384" s="41"/>
      <c r="J384" s="41"/>
      <c r="K384" s="41"/>
    </row>
    <row r="385" spans="1:11" x14ac:dyDescent="0.3">
      <c r="B385" s="41"/>
      <c r="C385" s="41"/>
      <c r="D385" s="41"/>
      <c r="E385" s="41"/>
      <c r="F385" s="41"/>
      <c r="G385" s="41"/>
      <c r="H385" s="41"/>
      <c r="I385" s="41"/>
      <c r="J385" s="41"/>
      <c r="K385" s="41"/>
    </row>
    <row r="386" spans="1:11" ht="21" x14ac:dyDescent="0.4">
      <c r="A386" s="16" t="s">
        <v>4</v>
      </c>
      <c r="B386" s="16"/>
      <c r="C386" s="54" t="str">
        <f>B12</f>
        <v>Palouse Wind</v>
      </c>
      <c r="D386" s="55"/>
      <c r="E386" s="26"/>
      <c r="F386" s="26"/>
      <c r="I386" s="41"/>
      <c r="J386" s="41"/>
      <c r="K386" s="41"/>
    </row>
    <row r="387" spans="1:11" x14ac:dyDescent="0.3">
      <c r="I387" s="41"/>
      <c r="J387" s="41"/>
      <c r="K387" s="41"/>
    </row>
    <row r="388" spans="1:11" ht="18" x14ac:dyDescent="0.35">
      <c r="A388" s="9" t="s">
        <v>36</v>
      </c>
      <c r="B388" s="9"/>
      <c r="D388" s="2">
        <v>2012</v>
      </c>
      <c r="E388" s="2">
        <v>2013</v>
      </c>
      <c r="F388" s="2">
        <f>E388+1</f>
        <v>2014</v>
      </c>
      <c r="G388" s="2">
        <f>F388+1</f>
        <v>2015</v>
      </c>
      <c r="H388" s="28"/>
      <c r="I388" s="28"/>
      <c r="J388" s="28"/>
      <c r="K388" s="41"/>
    </row>
    <row r="389" spans="1:11" x14ac:dyDescent="0.3">
      <c r="B389" s="102" t="str">
        <f>"Total MWh Produced / Purchased from " &amp; C386</f>
        <v>Total MWh Produced / Purchased from Palouse Wind</v>
      </c>
      <c r="C389" s="89"/>
      <c r="D389" s="3">
        <v>61450</v>
      </c>
      <c r="E389" s="4">
        <v>297027</v>
      </c>
      <c r="F389" s="5">
        <v>335291</v>
      </c>
      <c r="G389" s="5">
        <v>349726</v>
      </c>
      <c r="H389" s="27"/>
      <c r="I389" s="27"/>
      <c r="J389" s="27"/>
      <c r="K389" s="41"/>
    </row>
    <row r="390" spans="1:11" x14ac:dyDescent="0.3">
      <c r="B390" s="102" t="s">
        <v>41</v>
      </c>
      <c r="C390" s="89"/>
      <c r="D390" s="69">
        <v>1</v>
      </c>
      <c r="E390" s="70">
        <v>1</v>
      </c>
      <c r="F390" s="71">
        <v>1</v>
      </c>
      <c r="G390" s="71">
        <v>1</v>
      </c>
      <c r="H390" s="27"/>
      <c r="I390" s="27"/>
      <c r="J390" s="27"/>
      <c r="K390" s="41"/>
    </row>
    <row r="391" spans="1:11" x14ac:dyDescent="0.3">
      <c r="B391" s="102" t="s">
        <v>35</v>
      </c>
      <c r="C391" s="89"/>
      <c r="D391" s="62">
        <v>1</v>
      </c>
      <c r="E391" s="63">
        <v>1</v>
      </c>
      <c r="F391" s="64">
        <v>1</v>
      </c>
      <c r="G391" s="64">
        <v>1</v>
      </c>
      <c r="H391" s="27"/>
      <c r="I391" s="27"/>
      <c r="J391" s="27"/>
      <c r="K391" s="41"/>
    </row>
    <row r="392" spans="1:11" x14ac:dyDescent="0.3">
      <c r="B392" s="99" t="s">
        <v>37</v>
      </c>
      <c r="C392" s="100"/>
      <c r="D392" s="49">
        <f xml:space="preserve"> D389 * D390 * D391</f>
        <v>61450</v>
      </c>
      <c r="E392" s="49">
        <f xml:space="preserve"> E389 * E390 * E391</f>
        <v>297027</v>
      </c>
      <c r="F392" s="49">
        <f xml:space="preserve"> F389 * F390 * F391</f>
        <v>335291</v>
      </c>
      <c r="G392" s="49">
        <f xml:space="preserve"> G389 * G390 * G391</f>
        <v>349726</v>
      </c>
      <c r="H392" s="27"/>
      <c r="I392" s="27"/>
      <c r="J392" s="27"/>
      <c r="K392" s="41"/>
    </row>
    <row r="393" spans="1:11" x14ac:dyDescent="0.3">
      <c r="B393" s="26"/>
      <c r="C393" s="41"/>
      <c r="D393" s="48"/>
      <c r="E393" s="48"/>
      <c r="F393" s="48"/>
      <c r="G393" s="48"/>
      <c r="H393" s="27"/>
      <c r="I393" s="27"/>
      <c r="J393" s="27"/>
      <c r="K393" s="41"/>
    </row>
    <row r="394" spans="1:11" ht="18" x14ac:dyDescent="0.35">
      <c r="A394" s="56" t="s">
        <v>39</v>
      </c>
      <c r="C394" s="41"/>
      <c r="D394" s="2">
        <v>2012</v>
      </c>
      <c r="E394" s="2">
        <v>2013</v>
      </c>
      <c r="F394" s="2">
        <f>E394+1</f>
        <v>2014</v>
      </c>
      <c r="G394" s="2">
        <f>F394+1</f>
        <v>2015</v>
      </c>
      <c r="H394" s="27"/>
      <c r="I394" s="27"/>
      <c r="J394" s="27"/>
      <c r="K394" s="41"/>
    </row>
    <row r="395" spans="1:11" x14ac:dyDescent="0.3">
      <c r="B395" s="102" t="s">
        <v>28</v>
      </c>
      <c r="C395" s="89"/>
      <c r="D395" s="65">
        <f>IF( $E12 = "Eligible", D392 * 'Facility Detail'!$B$462, 0 )</f>
        <v>12290</v>
      </c>
      <c r="E395" s="65">
        <f>IF( $E12 = "Eligible", E392 * 'Facility Detail'!$B$462, 0 )</f>
        <v>59405.4</v>
      </c>
      <c r="F395" s="65">
        <f>IF( $E12 = "Eligible", F392 * 'Facility Detail'!$B$462, 0 )</f>
        <v>67058.2</v>
      </c>
      <c r="G395" s="65">
        <f>IF( $E12 = "Eligible", G392 * 'Facility Detail'!$B$462, 0 )</f>
        <v>69945.2</v>
      </c>
      <c r="H395" s="27"/>
      <c r="I395" s="27"/>
      <c r="J395" s="27"/>
      <c r="K395" s="41"/>
    </row>
    <row r="396" spans="1:11" x14ac:dyDescent="0.3">
      <c r="B396" s="102" t="s">
        <v>6</v>
      </c>
      <c r="C396" s="89"/>
      <c r="D396" s="66">
        <f>IF( $F12 = "Eligible", D392, 0 )</f>
        <v>0</v>
      </c>
      <c r="E396" s="67">
        <f>IF( $F12 = "Eligible", E392, 0 )</f>
        <v>0</v>
      </c>
      <c r="F396" s="68">
        <f>IF( $F12 = "Eligible", F392, 0 )</f>
        <v>0</v>
      </c>
      <c r="G396" s="68">
        <f>IF( $F12 = "Eligible", G392, 0 )</f>
        <v>0</v>
      </c>
      <c r="H396" s="27"/>
      <c r="I396" s="27"/>
      <c r="J396" s="27"/>
      <c r="K396" s="41"/>
    </row>
    <row r="397" spans="1:11" x14ac:dyDescent="0.3">
      <c r="B397" s="101" t="s">
        <v>48</v>
      </c>
      <c r="C397" s="100"/>
      <c r="D397" s="51">
        <f>SUM(D395:D396)</f>
        <v>12290</v>
      </c>
      <c r="E397" s="52">
        <f>SUM(E395:E396)</f>
        <v>59405.4</v>
      </c>
      <c r="F397" s="52">
        <f>SUM(F395:F396)</f>
        <v>67058.2</v>
      </c>
      <c r="G397" s="52">
        <f>SUM(G395:G396)</f>
        <v>69945.2</v>
      </c>
      <c r="H397" s="27"/>
      <c r="I397" s="27"/>
      <c r="J397" s="27"/>
      <c r="K397" s="41"/>
    </row>
    <row r="398" spans="1:11" x14ac:dyDescent="0.3">
      <c r="B398" s="41"/>
      <c r="C398" s="41"/>
      <c r="D398" s="50"/>
      <c r="E398" s="42"/>
      <c r="F398" s="42"/>
      <c r="G398" s="42"/>
      <c r="H398" s="27"/>
      <c r="I398" s="27"/>
      <c r="J398" s="27"/>
      <c r="K398" s="41"/>
    </row>
    <row r="399" spans="1:11" ht="18" x14ac:dyDescent="0.35">
      <c r="A399" s="53" t="s">
        <v>46</v>
      </c>
      <c r="C399" s="41"/>
      <c r="D399" s="2">
        <v>2012</v>
      </c>
      <c r="E399" s="2">
        <f>D399+1</f>
        <v>2013</v>
      </c>
      <c r="F399" s="2">
        <f>E399+1</f>
        <v>2014</v>
      </c>
      <c r="G399" s="2">
        <f>F399+1</f>
        <v>2015</v>
      </c>
      <c r="H399" s="27"/>
      <c r="I399" s="27"/>
      <c r="J399" s="27"/>
      <c r="K399" s="41"/>
    </row>
    <row r="400" spans="1:11" x14ac:dyDescent="0.3">
      <c r="B400" s="102" t="s">
        <v>50</v>
      </c>
      <c r="C400" s="89"/>
      <c r="D400" s="110">
        <v>-61450</v>
      </c>
      <c r="E400" s="111">
        <v>-297027</v>
      </c>
      <c r="F400" s="112">
        <v>-313679</v>
      </c>
      <c r="G400" s="112">
        <v>0</v>
      </c>
      <c r="H400" s="27"/>
      <c r="I400" s="27"/>
      <c r="J400" s="27"/>
      <c r="K400" s="41"/>
    </row>
    <row r="401" spans="1:11" x14ac:dyDescent="0.3">
      <c r="B401" s="103" t="s">
        <v>38</v>
      </c>
      <c r="C401" s="104"/>
      <c r="D401" s="113">
        <v>0</v>
      </c>
      <c r="E401" s="114">
        <v>0</v>
      </c>
      <c r="F401" s="115">
        <v>0</v>
      </c>
      <c r="G401" s="115">
        <v>0</v>
      </c>
      <c r="H401" s="27"/>
      <c r="I401" s="27"/>
      <c r="J401" s="27"/>
      <c r="K401" s="41"/>
    </row>
    <row r="402" spans="1:11" x14ac:dyDescent="0.3">
      <c r="B402" s="116" t="s">
        <v>52</v>
      </c>
      <c r="C402" s="108"/>
      <c r="D402" s="72">
        <v>-12290</v>
      </c>
      <c r="E402" s="73">
        <v>-59405</v>
      </c>
      <c r="F402" s="74">
        <v>-62736</v>
      </c>
      <c r="G402" s="74">
        <v>0</v>
      </c>
      <c r="H402" s="27"/>
      <c r="I402" s="27"/>
      <c r="J402" s="27"/>
      <c r="K402" s="41"/>
    </row>
    <row r="403" spans="1:11" x14ac:dyDescent="0.3">
      <c r="B403" s="44" t="s">
        <v>53</v>
      </c>
      <c r="D403" s="7">
        <f>SUM(D400:D402)</f>
        <v>-73740</v>
      </c>
      <c r="E403" s="7">
        <f>SUM(E400:E402)</f>
        <v>-356432</v>
      </c>
      <c r="F403" s="7">
        <f>SUM(F400:F402)</f>
        <v>-376415</v>
      </c>
      <c r="G403" s="7">
        <f>SUM(G400:G402)</f>
        <v>0</v>
      </c>
      <c r="H403" s="39"/>
      <c r="I403" s="39"/>
      <c r="J403" s="39"/>
      <c r="K403" s="41"/>
    </row>
    <row r="404" spans="1:11" x14ac:dyDescent="0.3">
      <c r="B404" s="6"/>
      <c r="D404" s="7"/>
      <c r="E404" s="7"/>
      <c r="F404" s="7"/>
      <c r="G404" s="7"/>
      <c r="H404" s="39"/>
      <c r="I404" s="39"/>
      <c r="J404" s="39"/>
      <c r="K404" s="41"/>
    </row>
    <row r="405" spans="1:11" ht="18" x14ac:dyDescent="0.35">
      <c r="A405" s="9" t="s">
        <v>54</v>
      </c>
      <c r="D405" s="2">
        <v>2012</v>
      </c>
      <c r="E405" s="2">
        <f>D405+1</f>
        <v>2013</v>
      </c>
      <c r="F405" s="2">
        <f>E405+1</f>
        <v>2014</v>
      </c>
      <c r="G405" s="2">
        <f>F405+1</f>
        <v>2015</v>
      </c>
      <c r="H405" s="39"/>
      <c r="I405" s="39"/>
      <c r="J405" s="39"/>
      <c r="K405" s="41"/>
    </row>
    <row r="406" spans="1:11" x14ac:dyDescent="0.3">
      <c r="B406" s="102" t="str">
        <f xml:space="preserve"> 'Facility Detail'!$B$465 &amp; " Surplus Applied to " &amp; ( 'Facility Detail'!$B$465 + 1 )</f>
        <v>2012 Surplus Applied to 2013</v>
      </c>
      <c r="C406" s="89"/>
      <c r="D406" s="3"/>
      <c r="E406" s="75">
        <f>D406</f>
        <v>0</v>
      </c>
      <c r="F406" s="164"/>
      <c r="G406" s="77"/>
      <c r="H406" s="39"/>
      <c r="I406" s="39"/>
      <c r="J406" s="39"/>
      <c r="K406" s="41"/>
    </row>
    <row r="407" spans="1:11" x14ac:dyDescent="0.3">
      <c r="B407" s="102" t="str">
        <f xml:space="preserve"> ( 'Facility Detail'!$B$465 + 1 ) &amp; " Surplus Applied to " &amp; ( 'Facility Detail'!$B$465 )</f>
        <v>2013 Surplus Applied to 2012</v>
      </c>
      <c r="C407" s="89"/>
      <c r="D407" s="165">
        <f>E407</f>
        <v>0</v>
      </c>
      <c r="E407" s="10"/>
      <c r="F407" s="96"/>
      <c r="G407" s="95"/>
      <c r="H407" s="39"/>
      <c r="I407" s="39"/>
      <c r="J407" s="39"/>
      <c r="K407" s="41"/>
    </row>
    <row r="408" spans="1:11" x14ac:dyDescent="0.3">
      <c r="B408" s="102" t="str">
        <f xml:space="preserve"> ( 'Facility Detail'!$B$465 + 1 ) &amp; " Surplus Applied to " &amp; ( 'Facility Detail'!$B$465 + 2 )</f>
        <v>2013 Surplus Applied to 2014</v>
      </c>
      <c r="C408" s="89"/>
      <c r="D408" s="78"/>
      <c r="E408" s="10"/>
      <c r="F408" s="88">
        <f>E408</f>
        <v>0</v>
      </c>
      <c r="G408" s="95"/>
      <c r="H408" s="39"/>
      <c r="I408" s="39"/>
      <c r="J408" s="39"/>
      <c r="K408" s="41"/>
    </row>
    <row r="409" spans="1:11" x14ac:dyDescent="0.3">
      <c r="B409" s="102" t="str">
        <f xml:space="preserve"> ( 'Facility Detail'!$B$465 + 2 ) &amp; " Surplus Applied to " &amp; ( 'Facility Detail'!$B$465 + 1 )</f>
        <v>2014 Surplus Applied to 2013</v>
      </c>
      <c r="C409" s="89"/>
      <c r="D409" s="78"/>
      <c r="E409" s="88">
        <f>F409</f>
        <v>0</v>
      </c>
      <c r="F409" s="10"/>
      <c r="G409" s="95"/>
      <c r="H409" s="39"/>
      <c r="I409" s="39"/>
      <c r="J409" s="39"/>
      <c r="K409" s="41"/>
    </row>
    <row r="410" spans="1:11" x14ac:dyDescent="0.3">
      <c r="B410" s="102" t="str">
        <f xml:space="preserve"> ( 'Facility Detail'!$B$465 + 2 ) &amp; " Surplus Applied to " &amp; ( 'Facility Detail'!$B$465 + 3 )</f>
        <v>2014 Surplus Applied to 2015</v>
      </c>
      <c r="C410" s="41"/>
      <c r="D410" s="78"/>
      <c r="E410" s="96"/>
      <c r="F410" s="10"/>
      <c r="G410" s="166">
        <f>F410</f>
        <v>0</v>
      </c>
      <c r="H410" s="39"/>
      <c r="I410" s="39"/>
      <c r="J410" s="39"/>
      <c r="K410" s="41"/>
    </row>
    <row r="411" spans="1:11" x14ac:dyDescent="0.3">
      <c r="B411" s="102" t="str">
        <f xml:space="preserve"> ( 'Facility Detail'!$B$465 +3 ) &amp; " Surplus Applied to " &amp; ( 'Facility Detail'!$B$465 + 2 )</f>
        <v>2015 Surplus Applied to 2014</v>
      </c>
      <c r="C411" s="41"/>
      <c r="D411" s="79"/>
      <c r="E411" s="97"/>
      <c r="F411" s="76">
        <f>G411</f>
        <v>0</v>
      </c>
      <c r="G411" s="167"/>
      <c r="H411" s="39"/>
      <c r="I411" s="39"/>
      <c r="J411" s="39"/>
      <c r="K411" s="41"/>
    </row>
    <row r="412" spans="1:11" x14ac:dyDescent="0.3">
      <c r="B412" s="44" t="s">
        <v>34</v>
      </c>
      <c r="D412" s="7">
        <f xml:space="preserve"> D407 - D406</f>
        <v>0</v>
      </c>
      <c r="E412" s="7">
        <f xml:space="preserve"> E406 + E409 - E408 - E407</f>
        <v>0</v>
      </c>
      <c r="F412" s="7">
        <f>F408+F411-F409-F410</f>
        <v>0</v>
      </c>
      <c r="G412" s="7">
        <f>G410-G411</f>
        <v>0</v>
      </c>
      <c r="H412" s="39"/>
      <c r="I412" s="39"/>
      <c r="J412" s="39"/>
      <c r="K412" s="41"/>
    </row>
    <row r="413" spans="1:11" x14ac:dyDescent="0.3">
      <c r="B413" s="6"/>
      <c r="D413" s="7"/>
      <c r="E413" s="7"/>
      <c r="F413" s="7"/>
      <c r="G413" s="7"/>
      <c r="H413" s="39"/>
      <c r="I413" s="39"/>
      <c r="J413" s="39"/>
      <c r="K413" s="41"/>
    </row>
    <row r="414" spans="1:11" x14ac:dyDescent="0.3">
      <c r="B414" s="109" t="s">
        <v>30</v>
      </c>
      <c r="C414" s="89"/>
      <c r="D414" s="125"/>
      <c r="E414" s="126"/>
      <c r="F414" s="127"/>
      <c r="G414" s="127"/>
      <c r="H414" s="39"/>
      <c r="I414" s="39"/>
      <c r="J414" s="39"/>
      <c r="K414" s="41"/>
    </row>
    <row r="415" spans="1:11" x14ac:dyDescent="0.3">
      <c r="B415" s="6"/>
      <c r="D415" s="7"/>
      <c r="E415" s="7"/>
      <c r="F415" s="7"/>
      <c r="G415" s="7"/>
      <c r="H415" s="39"/>
      <c r="I415" s="39"/>
      <c r="J415" s="39"/>
      <c r="K415" s="41"/>
    </row>
    <row r="416" spans="1:11" ht="15.6" x14ac:dyDescent="0.3">
      <c r="A416" s="105" t="s">
        <v>42</v>
      </c>
      <c r="C416" s="89"/>
      <c r="D416" s="57">
        <f xml:space="preserve"> D392 + D397 + D403 + D412 + D414</f>
        <v>0</v>
      </c>
      <c r="E416" s="58">
        <f xml:space="preserve"> E392 + E397 + E403 + E412 + E414</f>
        <v>0.40000000002328306</v>
      </c>
      <c r="F416" s="59">
        <f xml:space="preserve"> F392 + F397 + F403 + F412 + F414</f>
        <v>25934.200000000012</v>
      </c>
      <c r="G416" s="59">
        <f xml:space="preserve"> G392 + G397 + G403 + G412 + G414</f>
        <v>419671.2</v>
      </c>
      <c r="H416" s="39"/>
      <c r="I416" s="39"/>
      <c r="J416" s="39"/>
      <c r="K416" s="41"/>
    </row>
    <row r="417" spans="1:11" ht="50.25" customHeight="1" thickBot="1" x14ac:dyDescent="0.35">
      <c r="A417" s="178"/>
      <c r="B417" s="178"/>
      <c r="C417" s="178"/>
      <c r="D417" s="178"/>
      <c r="E417" s="178"/>
      <c r="F417" s="178"/>
      <c r="H417" s="41"/>
      <c r="I417" s="41"/>
      <c r="J417" s="41"/>
      <c r="K417" s="41"/>
    </row>
    <row r="418" spans="1:11" x14ac:dyDescent="0.3">
      <c r="A418" s="8"/>
      <c r="B418" s="8"/>
      <c r="C418" s="8"/>
      <c r="D418" s="8"/>
      <c r="E418" s="8"/>
      <c r="F418" s="8"/>
      <c r="G418" s="8"/>
      <c r="H418" s="41"/>
      <c r="I418" s="41"/>
      <c r="J418" s="41"/>
      <c r="K418" s="41"/>
    </row>
    <row r="419" spans="1:11" ht="21" x14ac:dyDescent="0.4">
      <c r="A419" s="16" t="s">
        <v>4</v>
      </c>
      <c r="B419" s="16"/>
      <c r="C419" s="54" t="str">
        <f>B13</f>
        <v>Stateline Wind REC Purchase</v>
      </c>
      <c r="D419" s="55"/>
      <c r="E419" s="26"/>
      <c r="F419" s="26"/>
      <c r="H419" s="39"/>
      <c r="I419" s="39"/>
      <c r="J419" s="39"/>
      <c r="K419" s="41"/>
    </row>
    <row r="420" spans="1:11" x14ac:dyDescent="0.3">
      <c r="H420" s="39"/>
      <c r="I420" s="39"/>
      <c r="J420" s="39"/>
      <c r="K420" s="41"/>
    </row>
    <row r="421" spans="1:11" ht="18" x14ac:dyDescent="0.35">
      <c r="A421" s="9" t="s">
        <v>36</v>
      </c>
      <c r="B421" s="9"/>
      <c r="D421" s="2">
        <v>2012</v>
      </c>
      <c r="E421" s="2">
        <v>2013</v>
      </c>
      <c r="F421" s="2">
        <f>E421+1</f>
        <v>2014</v>
      </c>
      <c r="G421" s="2">
        <f>F421+1</f>
        <v>2015</v>
      </c>
      <c r="H421" s="39"/>
      <c r="I421" s="39"/>
      <c r="J421" s="39"/>
      <c r="K421" s="41"/>
    </row>
    <row r="422" spans="1:11" x14ac:dyDescent="0.3">
      <c r="B422" s="102" t="str">
        <f>"Total MWh Produced / Purchased from " &amp; C419</f>
        <v>Total MWh Produced / Purchased from Stateline Wind REC Purchase</v>
      </c>
      <c r="C422" s="89"/>
      <c r="D422" s="3">
        <v>0</v>
      </c>
      <c r="E422" s="4">
        <v>0</v>
      </c>
      <c r="F422" s="5">
        <v>0</v>
      </c>
      <c r="G422" s="5">
        <v>50000</v>
      </c>
      <c r="H422" s="39"/>
      <c r="I422" s="39"/>
      <c r="J422" s="39"/>
      <c r="K422" s="41"/>
    </row>
    <row r="423" spans="1:11" x14ac:dyDescent="0.3">
      <c r="B423" s="102" t="s">
        <v>41</v>
      </c>
      <c r="C423" s="89"/>
      <c r="D423" s="69">
        <v>1</v>
      </c>
      <c r="E423" s="70">
        <v>1</v>
      </c>
      <c r="F423" s="71">
        <v>1</v>
      </c>
      <c r="G423" s="71">
        <v>1</v>
      </c>
      <c r="H423" s="39"/>
      <c r="I423" s="39"/>
      <c r="J423" s="39"/>
      <c r="K423" s="41"/>
    </row>
    <row r="424" spans="1:11" x14ac:dyDescent="0.3">
      <c r="B424" s="102" t="s">
        <v>35</v>
      </c>
      <c r="C424" s="89"/>
      <c r="D424" s="62">
        <v>1</v>
      </c>
      <c r="E424" s="63">
        <v>1</v>
      </c>
      <c r="F424" s="64">
        <v>1</v>
      </c>
      <c r="G424" s="64">
        <v>1</v>
      </c>
      <c r="H424" s="39"/>
      <c r="I424" s="39"/>
      <c r="J424" s="39"/>
      <c r="K424" s="41"/>
    </row>
    <row r="425" spans="1:11" x14ac:dyDescent="0.3">
      <c r="B425" s="99" t="s">
        <v>37</v>
      </c>
      <c r="C425" s="100"/>
      <c r="D425" s="49">
        <f xml:space="preserve"> D422 * D423 * D424</f>
        <v>0</v>
      </c>
      <c r="E425" s="49">
        <f xml:space="preserve"> E422 * E423 * E424</f>
        <v>0</v>
      </c>
      <c r="F425" s="49">
        <f xml:space="preserve"> F422 * F423 * F424</f>
        <v>0</v>
      </c>
      <c r="G425" s="49">
        <f xml:space="preserve"> G422 * G423 * G424</f>
        <v>50000</v>
      </c>
      <c r="H425" s="39"/>
      <c r="I425" s="39"/>
      <c r="J425" s="39"/>
      <c r="K425" s="41"/>
    </row>
    <row r="426" spans="1:11" x14ac:dyDescent="0.3">
      <c r="B426" s="26"/>
      <c r="C426" s="41"/>
      <c r="D426" s="48"/>
      <c r="E426" s="48"/>
      <c r="F426" s="48"/>
      <c r="G426" s="48"/>
      <c r="H426" s="39"/>
      <c r="I426" s="39"/>
      <c r="J426" s="39"/>
      <c r="K426" s="41"/>
    </row>
    <row r="427" spans="1:11" ht="18" x14ac:dyDescent="0.35">
      <c r="A427" s="56" t="s">
        <v>39</v>
      </c>
      <c r="C427" s="41"/>
      <c r="D427" s="2">
        <v>2012</v>
      </c>
      <c r="E427" s="2">
        <v>2013</v>
      </c>
      <c r="F427" s="2">
        <f>E427+1</f>
        <v>2014</v>
      </c>
      <c r="G427" s="2">
        <f>F427+1</f>
        <v>2015</v>
      </c>
      <c r="H427" s="39"/>
      <c r="I427" s="39"/>
      <c r="J427" s="39"/>
      <c r="K427" s="41"/>
    </row>
    <row r="428" spans="1:11" x14ac:dyDescent="0.3">
      <c r="B428" s="102" t="s">
        <v>28</v>
      </c>
      <c r="C428" s="89"/>
      <c r="D428" s="65">
        <f>IF( $E45 = "Eligible", D425 * 'Facility Detail'!$B$462, 0 )</f>
        <v>0</v>
      </c>
      <c r="E428" s="65">
        <f>IF( $E45 = "Eligible", E425 * 'Facility Detail'!$B$462, 0 )</f>
        <v>0</v>
      </c>
      <c r="F428" s="65">
        <f>IF( $E45 = "Eligible", F425 * 'Facility Detail'!$B$462, 0 )</f>
        <v>0</v>
      </c>
      <c r="G428" s="65">
        <f>IF( $E45 = "Eligible", G425 * 'Facility Detail'!$B$462, 0 )</f>
        <v>0</v>
      </c>
      <c r="H428" s="39"/>
      <c r="I428" s="39"/>
      <c r="J428" s="39"/>
      <c r="K428" s="41"/>
    </row>
    <row r="429" spans="1:11" x14ac:dyDescent="0.3">
      <c r="B429" s="102" t="s">
        <v>6</v>
      </c>
      <c r="C429" s="89"/>
      <c r="D429" s="66">
        <f>IF( $F45 = "Eligible", D425, 0 )</f>
        <v>0</v>
      </c>
      <c r="E429" s="67">
        <f>IF( $F45 = "Eligible", E425, 0 )</f>
        <v>0</v>
      </c>
      <c r="F429" s="68">
        <f>IF( $F45 = "Eligible", F425, 0 )</f>
        <v>0</v>
      </c>
      <c r="G429" s="68">
        <f>IF( $F45 = "Eligible", G425, 0 )</f>
        <v>0</v>
      </c>
      <c r="H429" s="39"/>
      <c r="I429" s="39"/>
      <c r="J429" s="39"/>
      <c r="K429" s="41"/>
    </row>
    <row r="430" spans="1:11" x14ac:dyDescent="0.3">
      <c r="B430" s="101" t="s">
        <v>48</v>
      </c>
      <c r="C430" s="100"/>
      <c r="D430" s="51">
        <f>SUM(D428:D429)</f>
        <v>0</v>
      </c>
      <c r="E430" s="52">
        <f>SUM(E428:E429)</f>
        <v>0</v>
      </c>
      <c r="F430" s="52">
        <f>SUM(F428:F429)</f>
        <v>0</v>
      </c>
      <c r="G430" s="52">
        <f>SUM(G428:G429)</f>
        <v>0</v>
      </c>
      <c r="H430" s="39"/>
      <c r="I430" s="39"/>
      <c r="J430" s="39"/>
      <c r="K430" s="41"/>
    </row>
    <row r="431" spans="1:11" x14ac:dyDescent="0.3">
      <c r="B431" s="41"/>
      <c r="C431" s="41"/>
      <c r="D431" s="50"/>
      <c r="E431" s="42"/>
      <c r="F431" s="42"/>
      <c r="G431" s="42"/>
      <c r="H431" s="39"/>
      <c r="I431" s="39"/>
      <c r="J431" s="39"/>
      <c r="K431" s="41"/>
    </row>
    <row r="432" spans="1:11" ht="18" x14ac:dyDescent="0.35">
      <c r="A432" s="53" t="s">
        <v>46</v>
      </c>
      <c r="C432" s="41"/>
      <c r="D432" s="2">
        <v>2012</v>
      </c>
      <c r="E432" s="2">
        <f>D432+1</f>
        <v>2013</v>
      </c>
      <c r="F432" s="2">
        <f>E432+1</f>
        <v>2014</v>
      </c>
      <c r="G432" s="2">
        <f>F432+1</f>
        <v>2015</v>
      </c>
      <c r="H432" s="39"/>
      <c r="I432" s="39"/>
      <c r="J432" s="39"/>
      <c r="K432" s="41"/>
    </row>
    <row r="433" spans="1:11" x14ac:dyDescent="0.3">
      <c r="B433" s="102" t="s">
        <v>50</v>
      </c>
      <c r="C433" s="89"/>
      <c r="D433" s="110">
        <v>0</v>
      </c>
      <c r="E433" s="111">
        <v>0</v>
      </c>
      <c r="F433" s="112">
        <v>0</v>
      </c>
      <c r="G433" s="112"/>
      <c r="H433" s="39"/>
      <c r="I433" s="39"/>
      <c r="J433" s="39"/>
      <c r="K433" s="41"/>
    </row>
    <row r="434" spans="1:11" x14ac:dyDescent="0.3">
      <c r="B434" s="103" t="s">
        <v>38</v>
      </c>
      <c r="C434" s="104"/>
      <c r="D434" s="113">
        <v>0</v>
      </c>
      <c r="E434" s="114">
        <v>0</v>
      </c>
      <c r="F434" s="115">
        <v>0</v>
      </c>
      <c r="G434" s="115">
        <v>0</v>
      </c>
      <c r="H434" s="39"/>
      <c r="I434" s="39"/>
      <c r="J434" s="39"/>
      <c r="K434" s="41"/>
    </row>
    <row r="435" spans="1:11" x14ac:dyDescent="0.3">
      <c r="B435" s="116" t="s">
        <v>52</v>
      </c>
      <c r="C435" s="108"/>
      <c r="D435" s="72"/>
      <c r="E435" s="73"/>
      <c r="F435" s="74"/>
      <c r="G435" s="74"/>
      <c r="H435" s="39"/>
      <c r="I435" s="39"/>
      <c r="J435" s="39"/>
      <c r="K435" s="41"/>
    </row>
    <row r="436" spans="1:11" x14ac:dyDescent="0.3">
      <c r="B436" s="44" t="s">
        <v>53</v>
      </c>
      <c r="D436" s="7">
        <f>SUM(D433:D435)</f>
        <v>0</v>
      </c>
      <c r="E436" s="7">
        <f>SUM(E433:E435)</f>
        <v>0</v>
      </c>
      <c r="F436" s="7">
        <f>SUM(F433:F435)</f>
        <v>0</v>
      </c>
      <c r="G436" s="7">
        <f>SUM(G433:G435)</f>
        <v>0</v>
      </c>
      <c r="H436" s="39"/>
      <c r="I436" s="39"/>
      <c r="J436" s="39"/>
      <c r="K436" s="41"/>
    </row>
    <row r="437" spans="1:11" x14ac:dyDescent="0.3">
      <c r="B437" s="6"/>
      <c r="D437" s="7"/>
      <c r="E437" s="7"/>
      <c r="F437" s="7"/>
      <c r="G437" s="7"/>
      <c r="H437" s="39"/>
      <c r="I437" s="39"/>
      <c r="J437" s="39"/>
      <c r="K437" s="41"/>
    </row>
    <row r="438" spans="1:11" ht="18" x14ac:dyDescent="0.35">
      <c r="A438" s="9" t="s">
        <v>54</v>
      </c>
      <c r="D438" s="2">
        <v>2012</v>
      </c>
      <c r="E438" s="2">
        <f>D438+1</f>
        <v>2013</v>
      </c>
      <c r="F438" s="2">
        <f>E438+1</f>
        <v>2014</v>
      </c>
      <c r="G438" s="2">
        <f>F438+1</f>
        <v>2015</v>
      </c>
      <c r="H438" s="39"/>
      <c r="I438" s="39"/>
      <c r="J438" s="39"/>
      <c r="K438" s="41"/>
    </row>
    <row r="439" spans="1:11" x14ac:dyDescent="0.3">
      <c r="B439" s="102" t="str">
        <f xml:space="preserve"> 'Facility Detail'!$B$465 &amp; " Surplus Applied to " &amp; ( 'Facility Detail'!$B$465 + 1 )</f>
        <v>2012 Surplus Applied to 2013</v>
      </c>
      <c r="C439" s="89"/>
      <c r="D439" s="3"/>
      <c r="E439" s="75">
        <f>D439</f>
        <v>0</v>
      </c>
      <c r="F439" s="164"/>
      <c r="G439" s="77"/>
      <c r="H439" s="39"/>
      <c r="I439" s="39"/>
      <c r="J439" s="39"/>
      <c r="K439" s="41"/>
    </row>
    <row r="440" spans="1:11" x14ac:dyDescent="0.3">
      <c r="B440" s="102" t="str">
        <f xml:space="preserve"> ( 'Facility Detail'!$B$465 + 1 ) &amp; " Surplus Applied to " &amp; ( 'Facility Detail'!$B$465 )</f>
        <v>2013 Surplus Applied to 2012</v>
      </c>
      <c r="C440" s="89"/>
      <c r="D440" s="165">
        <f>E440</f>
        <v>0</v>
      </c>
      <c r="E440" s="10"/>
      <c r="F440" s="96"/>
      <c r="G440" s="95"/>
      <c r="H440" s="39"/>
      <c r="I440" s="39"/>
      <c r="J440" s="39"/>
      <c r="K440" s="41"/>
    </row>
    <row r="441" spans="1:11" x14ac:dyDescent="0.3">
      <c r="B441" s="102" t="str">
        <f xml:space="preserve"> ( 'Facility Detail'!$B$465 + 1 ) &amp; " Surplus Applied to " &amp; ( 'Facility Detail'!$B$465 + 2 )</f>
        <v>2013 Surplus Applied to 2014</v>
      </c>
      <c r="C441" s="89"/>
      <c r="D441" s="78"/>
      <c r="E441" s="10"/>
      <c r="F441" s="88">
        <f>E441</f>
        <v>0</v>
      </c>
      <c r="G441" s="95"/>
      <c r="H441" s="39"/>
      <c r="I441" s="39"/>
      <c r="J441" s="39"/>
      <c r="K441" s="41"/>
    </row>
    <row r="442" spans="1:11" x14ac:dyDescent="0.3">
      <c r="B442" s="102" t="str">
        <f xml:space="preserve"> ( 'Facility Detail'!$B$465 + 2 ) &amp; " Surplus Applied to " &amp; ( 'Facility Detail'!$B$465 + 1 )</f>
        <v>2014 Surplus Applied to 2013</v>
      </c>
      <c r="C442" s="89"/>
      <c r="D442" s="78"/>
      <c r="E442" s="88">
        <f>F442</f>
        <v>0</v>
      </c>
      <c r="F442" s="10"/>
      <c r="G442" s="95"/>
      <c r="H442" s="39"/>
      <c r="I442" s="39"/>
      <c r="J442" s="39"/>
      <c r="K442" s="41"/>
    </row>
    <row r="443" spans="1:11" x14ac:dyDescent="0.3">
      <c r="B443" s="102" t="str">
        <f xml:space="preserve"> ( 'Facility Detail'!$B$465 + 2 ) &amp; " Surplus Applied to " &amp; ( 'Facility Detail'!$B$465 + 3 )</f>
        <v>2014 Surplus Applied to 2015</v>
      </c>
      <c r="C443" s="41"/>
      <c r="D443" s="78"/>
      <c r="E443" s="96"/>
      <c r="F443" s="10"/>
      <c r="G443" s="166">
        <f>F443</f>
        <v>0</v>
      </c>
      <c r="H443" s="39"/>
      <c r="I443" s="39"/>
      <c r="J443" s="39"/>
      <c r="K443" s="41"/>
    </row>
    <row r="444" spans="1:11" x14ac:dyDescent="0.3">
      <c r="B444" s="102" t="str">
        <f xml:space="preserve"> ( 'Facility Detail'!$B$465 +3 ) &amp; " Surplus Applied to " &amp; ( 'Facility Detail'!$B$465 + 2 )</f>
        <v>2015 Surplus Applied to 2014</v>
      </c>
      <c r="C444" s="41"/>
      <c r="D444" s="79"/>
      <c r="E444" s="97"/>
      <c r="F444" s="76">
        <f>G444</f>
        <v>0</v>
      </c>
      <c r="G444" s="167"/>
      <c r="H444" s="39"/>
      <c r="I444" s="39"/>
      <c r="J444" s="39"/>
      <c r="K444" s="41"/>
    </row>
    <row r="445" spans="1:11" x14ac:dyDescent="0.3">
      <c r="B445" s="44" t="s">
        <v>34</v>
      </c>
      <c r="D445" s="7">
        <f xml:space="preserve"> D440 - D439</f>
        <v>0</v>
      </c>
      <c r="E445" s="7">
        <f xml:space="preserve"> E439 + E442 - E441 - E440</f>
        <v>0</v>
      </c>
      <c r="F445" s="7">
        <f>F441+F444-F442-F443</f>
        <v>0</v>
      </c>
      <c r="G445" s="7">
        <f>G443-G444</f>
        <v>0</v>
      </c>
      <c r="H445" s="39"/>
      <c r="I445" s="39"/>
      <c r="J445" s="39"/>
      <c r="K445" s="41"/>
    </row>
    <row r="446" spans="1:11" x14ac:dyDescent="0.3">
      <c r="B446" s="6"/>
      <c r="D446" s="7"/>
      <c r="E446" s="7"/>
      <c r="F446" s="7"/>
      <c r="G446" s="7"/>
      <c r="H446" s="39"/>
      <c r="I446" s="39"/>
      <c r="J446" s="39"/>
      <c r="K446" s="41"/>
    </row>
    <row r="447" spans="1:11" x14ac:dyDescent="0.3">
      <c r="B447" s="109" t="s">
        <v>30</v>
      </c>
      <c r="C447" s="89"/>
      <c r="D447" s="125"/>
      <c r="E447" s="126"/>
      <c r="F447" s="127"/>
      <c r="G447" s="127"/>
      <c r="H447" s="39"/>
      <c r="I447" s="39"/>
      <c r="J447" s="39"/>
      <c r="K447" s="41"/>
    </row>
    <row r="448" spans="1:11" x14ac:dyDescent="0.3">
      <c r="B448" s="6"/>
      <c r="D448" s="7"/>
      <c r="E448" s="7"/>
      <c r="F448" s="7"/>
      <c r="G448" s="7"/>
      <c r="H448" s="39"/>
      <c r="I448" s="39"/>
      <c r="J448" s="39"/>
      <c r="K448" s="41"/>
    </row>
    <row r="449" spans="1:11" ht="15.6" x14ac:dyDescent="0.3">
      <c r="A449" s="105" t="s">
        <v>42</v>
      </c>
      <c r="C449" s="89"/>
      <c r="D449" s="57">
        <f xml:space="preserve"> D425 + D430 + D436 + D445 + D447</f>
        <v>0</v>
      </c>
      <c r="E449" s="58">
        <f xml:space="preserve"> E425 + E430 + E436 + E445 + E447</f>
        <v>0</v>
      </c>
      <c r="F449" s="59">
        <f xml:space="preserve"> F425 + F430 + F436 + F445 + F447</f>
        <v>0</v>
      </c>
      <c r="G449" s="59">
        <f xml:space="preserve"> G425 + G430 + G436 + G445 + G447</f>
        <v>50000</v>
      </c>
      <c r="H449" s="39"/>
      <c r="I449" s="39"/>
      <c r="J449" s="39"/>
      <c r="K449" s="41"/>
    </row>
    <row r="450" spans="1:11" x14ac:dyDescent="0.3">
      <c r="B450" s="6"/>
      <c r="D450" s="7"/>
      <c r="E450" s="7"/>
      <c r="F450" s="7"/>
      <c r="G450" s="39"/>
      <c r="H450" s="39"/>
      <c r="I450" s="39"/>
      <c r="J450" s="39"/>
      <c r="K450" s="41"/>
    </row>
    <row r="451" spans="1:11" x14ac:dyDescent="0.3">
      <c r="B451" s="6"/>
      <c r="D451" s="7"/>
      <c r="E451" s="7"/>
      <c r="F451" s="7"/>
      <c r="G451" s="39"/>
      <c r="H451" s="39"/>
      <c r="I451" s="39"/>
      <c r="J451" s="39"/>
      <c r="K451" s="41"/>
    </row>
    <row r="452" spans="1:11" ht="15" thickBot="1" x14ac:dyDescent="0.35">
      <c r="A452" s="177"/>
      <c r="B452" s="177"/>
      <c r="C452" s="177"/>
      <c r="D452" s="177"/>
      <c r="E452" s="177"/>
      <c r="F452" s="177"/>
      <c r="H452" s="41"/>
      <c r="I452" s="41"/>
      <c r="J452" s="41"/>
      <c r="K452" s="41"/>
    </row>
    <row r="455" spans="1:11" outlineLevel="1" x14ac:dyDescent="0.3"/>
    <row r="456" spans="1:11" outlineLevel="1" x14ac:dyDescent="0.3">
      <c r="B456" s="6" t="s">
        <v>45</v>
      </c>
    </row>
    <row r="457" spans="1:11" outlineLevel="1" x14ac:dyDescent="0.3">
      <c r="B457" s="18" t="s">
        <v>0</v>
      </c>
    </row>
    <row r="458" spans="1:11" outlineLevel="1" x14ac:dyDescent="0.3">
      <c r="B458" s="20" t="s">
        <v>1</v>
      </c>
    </row>
    <row r="459" spans="1:11" outlineLevel="1" x14ac:dyDescent="0.3">
      <c r="B459" s="21" t="s">
        <v>2</v>
      </c>
    </row>
    <row r="460" spans="1:11" outlineLevel="1" x14ac:dyDescent="0.3"/>
    <row r="461" spans="1:11" outlineLevel="1" x14ac:dyDescent="0.3">
      <c r="B461" s="6" t="s">
        <v>44</v>
      </c>
    </row>
    <row r="462" spans="1:11" outlineLevel="1" x14ac:dyDescent="0.3">
      <c r="B462" s="19">
        <v>0.2</v>
      </c>
    </row>
    <row r="463" spans="1:11" outlineLevel="1" x14ac:dyDescent="0.3"/>
    <row r="464" spans="1:11" outlineLevel="1" x14ac:dyDescent="0.3">
      <c r="B464" s="6" t="s">
        <v>8</v>
      </c>
    </row>
    <row r="465" spans="2:2" outlineLevel="1" x14ac:dyDescent="0.3">
      <c r="B465" s="19">
        <v>2012</v>
      </c>
    </row>
    <row r="466" spans="2:2" outlineLevel="1" x14ac:dyDescent="0.3"/>
    <row r="467" spans="2:2" outlineLevel="1" x14ac:dyDescent="0.3">
      <c r="B467" s="6" t="s">
        <v>92</v>
      </c>
    </row>
    <row r="468" spans="2:2" x14ac:dyDescent="0.3">
      <c r="B468" s="18"/>
    </row>
    <row r="469" spans="2:2" x14ac:dyDescent="0.3">
      <c r="B469" s="20" t="s">
        <v>79</v>
      </c>
    </row>
    <row r="470" spans="2:2" x14ac:dyDescent="0.3">
      <c r="B470" s="20" t="s">
        <v>84</v>
      </c>
    </row>
    <row r="471" spans="2:2" x14ac:dyDescent="0.3">
      <c r="B471" s="20" t="s">
        <v>82</v>
      </c>
    </row>
    <row r="472" spans="2:2" x14ac:dyDescent="0.3">
      <c r="B472" s="20" t="s">
        <v>85</v>
      </c>
    </row>
    <row r="473" spans="2:2" x14ac:dyDescent="0.3">
      <c r="B473" s="20" t="s">
        <v>86</v>
      </c>
    </row>
    <row r="474" spans="2:2" x14ac:dyDescent="0.3">
      <c r="B474" s="20" t="s">
        <v>87</v>
      </c>
    </row>
    <row r="475" spans="2:2" x14ac:dyDescent="0.3">
      <c r="B475" s="20" t="s">
        <v>88</v>
      </c>
    </row>
    <row r="476" spans="2:2" x14ac:dyDescent="0.3">
      <c r="B476" s="20" t="s">
        <v>89</v>
      </c>
    </row>
    <row r="477" spans="2:2" x14ac:dyDescent="0.3">
      <c r="B477" s="152" t="s">
        <v>90</v>
      </c>
    </row>
  </sheetData>
  <mergeCells count="4">
    <mergeCell ref="B33:F33"/>
    <mergeCell ref="A452:F452"/>
    <mergeCell ref="A383:F383"/>
    <mergeCell ref="A417:F417"/>
  </mergeCells>
  <phoneticPr fontId="5" type="noConversion"/>
  <dataValidations count="2">
    <dataValidation type="list" allowBlank="1" showInputMessage="1" showErrorMessage="1" sqref="E2:F31">
      <formula1>LaborBonus</formula1>
    </dataValidation>
    <dataValidation type="list" allowBlank="1" showInputMessage="1" showErrorMessage="1" sqref="D2:D12">
      <formula1>Facility</formula1>
    </dataValidation>
  </dataValidations>
  <pageMargins left="0.75" right="0.75" top="1" bottom="1" header="0.5" footer="0.5"/>
  <pageSetup scale="61" fitToHeight="2" orientation="portrait" r:id="rId1"/>
  <headerFooter alignWithMargins="0"/>
  <rowBreaks count="5" manualBreakCount="5">
    <brk id="69" max="7" man="1"/>
    <brk id="139" max="7" man="1"/>
    <brk id="209" max="7" man="1"/>
    <brk id="279" max="7" man="1"/>
    <brk id="34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showGridLines="0" tabSelected="1" workbookViewId="0">
      <selection activeCell="A37" sqref="A37:F37"/>
    </sheetView>
  </sheetViews>
  <sheetFormatPr defaultRowHeight="13.8" outlineLevelRow="1" x14ac:dyDescent="0.3"/>
  <cols>
    <col min="1" max="1" width="28.6640625" style="134" customWidth="1"/>
    <col min="2" max="2" width="25.109375" style="134" bestFit="1" customWidth="1"/>
    <col min="3" max="5" width="16.44140625" style="134" customWidth="1"/>
    <col min="6" max="7" width="14.33203125" style="134" customWidth="1"/>
    <col min="8" max="256" width="9.109375" style="134"/>
    <col min="257" max="257" width="27" style="134" customWidth="1"/>
    <col min="258" max="261" width="16.44140625" style="134" customWidth="1"/>
    <col min="262" max="263" width="14.33203125" style="134" customWidth="1"/>
    <col min="264" max="512" width="9.109375" style="134"/>
    <col min="513" max="513" width="27" style="134" customWidth="1"/>
    <col min="514" max="517" width="16.44140625" style="134" customWidth="1"/>
    <col min="518" max="519" width="14.33203125" style="134" customWidth="1"/>
    <col min="520" max="768" width="9.109375" style="134"/>
    <col min="769" max="769" width="27" style="134" customWidth="1"/>
    <col min="770" max="773" width="16.44140625" style="134" customWidth="1"/>
    <col min="774" max="775" width="14.33203125" style="134" customWidth="1"/>
    <col min="776" max="1024" width="9.109375" style="134"/>
    <col min="1025" max="1025" width="27" style="134" customWidth="1"/>
    <col min="1026" max="1029" width="16.44140625" style="134" customWidth="1"/>
    <col min="1030" max="1031" width="14.33203125" style="134" customWidth="1"/>
    <col min="1032" max="1280" width="9.109375" style="134"/>
    <col min="1281" max="1281" width="27" style="134" customWidth="1"/>
    <col min="1282" max="1285" width="16.44140625" style="134" customWidth="1"/>
    <col min="1286" max="1287" width="14.33203125" style="134" customWidth="1"/>
    <col min="1288" max="1536" width="9.109375" style="134"/>
    <col min="1537" max="1537" width="27" style="134" customWidth="1"/>
    <col min="1538" max="1541" width="16.44140625" style="134" customWidth="1"/>
    <col min="1542" max="1543" width="14.33203125" style="134" customWidth="1"/>
    <col min="1544" max="1792" width="9.109375" style="134"/>
    <col min="1793" max="1793" width="27" style="134" customWidth="1"/>
    <col min="1794" max="1797" width="16.44140625" style="134" customWidth="1"/>
    <col min="1798" max="1799" width="14.33203125" style="134" customWidth="1"/>
    <col min="1800" max="2048" width="9.109375" style="134"/>
    <col min="2049" max="2049" width="27" style="134" customWidth="1"/>
    <col min="2050" max="2053" width="16.44140625" style="134" customWidth="1"/>
    <col min="2054" max="2055" width="14.33203125" style="134" customWidth="1"/>
    <col min="2056" max="2304" width="9.109375" style="134"/>
    <col min="2305" max="2305" width="27" style="134" customWidth="1"/>
    <col min="2306" max="2309" width="16.44140625" style="134" customWidth="1"/>
    <col min="2310" max="2311" width="14.33203125" style="134" customWidth="1"/>
    <col min="2312" max="2560" width="9.109375" style="134"/>
    <col min="2561" max="2561" width="27" style="134" customWidth="1"/>
    <col min="2562" max="2565" width="16.44140625" style="134" customWidth="1"/>
    <col min="2566" max="2567" width="14.33203125" style="134" customWidth="1"/>
    <col min="2568" max="2816" width="9.109375" style="134"/>
    <col min="2817" max="2817" width="27" style="134" customWidth="1"/>
    <col min="2818" max="2821" width="16.44140625" style="134" customWidth="1"/>
    <col min="2822" max="2823" width="14.33203125" style="134" customWidth="1"/>
    <col min="2824" max="3072" width="9.109375" style="134"/>
    <col min="3073" max="3073" width="27" style="134" customWidth="1"/>
    <col min="3074" max="3077" width="16.44140625" style="134" customWidth="1"/>
    <col min="3078" max="3079" width="14.33203125" style="134" customWidth="1"/>
    <col min="3080" max="3328" width="9.109375" style="134"/>
    <col min="3329" max="3329" width="27" style="134" customWidth="1"/>
    <col min="3330" max="3333" width="16.44140625" style="134" customWidth="1"/>
    <col min="3334" max="3335" width="14.33203125" style="134" customWidth="1"/>
    <col min="3336" max="3584" width="9.109375" style="134"/>
    <col min="3585" max="3585" width="27" style="134" customWidth="1"/>
    <col min="3586" max="3589" width="16.44140625" style="134" customWidth="1"/>
    <col min="3590" max="3591" width="14.33203125" style="134" customWidth="1"/>
    <col min="3592" max="3840" width="9.109375" style="134"/>
    <col min="3841" max="3841" width="27" style="134" customWidth="1"/>
    <col min="3842" max="3845" width="16.44140625" style="134" customWidth="1"/>
    <col min="3846" max="3847" width="14.33203125" style="134" customWidth="1"/>
    <col min="3848" max="4096" width="9.109375" style="134"/>
    <col min="4097" max="4097" width="27" style="134" customWidth="1"/>
    <col min="4098" max="4101" width="16.44140625" style="134" customWidth="1"/>
    <col min="4102" max="4103" width="14.33203125" style="134" customWidth="1"/>
    <col min="4104" max="4352" width="9.109375" style="134"/>
    <col min="4353" max="4353" width="27" style="134" customWidth="1"/>
    <col min="4354" max="4357" width="16.44140625" style="134" customWidth="1"/>
    <col min="4358" max="4359" width="14.33203125" style="134" customWidth="1"/>
    <col min="4360" max="4608" width="9.109375" style="134"/>
    <col min="4609" max="4609" width="27" style="134" customWidth="1"/>
    <col min="4610" max="4613" width="16.44140625" style="134" customWidth="1"/>
    <col min="4614" max="4615" width="14.33203125" style="134" customWidth="1"/>
    <col min="4616" max="4864" width="9.109375" style="134"/>
    <col min="4865" max="4865" width="27" style="134" customWidth="1"/>
    <col min="4866" max="4869" width="16.44140625" style="134" customWidth="1"/>
    <col min="4870" max="4871" width="14.33203125" style="134" customWidth="1"/>
    <col min="4872" max="5120" width="9.109375" style="134"/>
    <col min="5121" max="5121" width="27" style="134" customWidth="1"/>
    <col min="5122" max="5125" width="16.44140625" style="134" customWidth="1"/>
    <col min="5126" max="5127" width="14.33203125" style="134" customWidth="1"/>
    <col min="5128" max="5376" width="9.109375" style="134"/>
    <col min="5377" max="5377" width="27" style="134" customWidth="1"/>
    <col min="5378" max="5381" width="16.44140625" style="134" customWidth="1"/>
    <col min="5382" max="5383" width="14.33203125" style="134" customWidth="1"/>
    <col min="5384" max="5632" width="9.109375" style="134"/>
    <col min="5633" max="5633" width="27" style="134" customWidth="1"/>
    <col min="5634" max="5637" width="16.44140625" style="134" customWidth="1"/>
    <col min="5638" max="5639" width="14.33203125" style="134" customWidth="1"/>
    <col min="5640" max="5888" width="9.109375" style="134"/>
    <col min="5889" max="5889" width="27" style="134" customWidth="1"/>
    <col min="5890" max="5893" width="16.44140625" style="134" customWidth="1"/>
    <col min="5894" max="5895" width="14.33203125" style="134" customWidth="1"/>
    <col min="5896" max="6144" width="9.109375" style="134"/>
    <col min="6145" max="6145" width="27" style="134" customWidth="1"/>
    <col min="6146" max="6149" width="16.44140625" style="134" customWidth="1"/>
    <col min="6150" max="6151" width="14.33203125" style="134" customWidth="1"/>
    <col min="6152" max="6400" width="9.109375" style="134"/>
    <col min="6401" max="6401" width="27" style="134" customWidth="1"/>
    <col min="6402" max="6405" width="16.44140625" style="134" customWidth="1"/>
    <col min="6406" max="6407" width="14.33203125" style="134" customWidth="1"/>
    <col min="6408" max="6656" width="9.109375" style="134"/>
    <col min="6657" max="6657" width="27" style="134" customWidth="1"/>
    <col min="6658" max="6661" width="16.44140625" style="134" customWidth="1"/>
    <col min="6662" max="6663" width="14.33203125" style="134" customWidth="1"/>
    <col min="6664" max="6912" width="9.109375" style="134"/>
    <col min="6913" max="6913" width="27" style="134" customWidth="1"/>
    <col min="6914" max="6917" width="16.44140625" style="134" customWidth="1"/>
    <col min="6918" max="6919" width="14.33203125" style="134" customWidth="1"/>
    <col min="6920" max="7168" width="9.109375" style="134"/>
    <col min="7169" max="7169" width="27" style="134" customWidth="1"/>
    <col min="7170" max="7173" width="16.44140625" style="134" customWidth="1"/>
    <col min="7174" max="7175" width="14.33203125" style="134" customWidth="1"/>
    <col min="7176" max="7424" width="9.109375" style="134"/>
    <col min="7425" max="7425" width="27" style="134" customWidth="1"/>
    <col min="7426" max="7429" width="16.44140625" style="134" customWidth="1"/>
    <col min="7430" max="7431" width="14.33203125" style="134" customWidth="1"/>
    <col min="7432" max="7680" width="9.109375" style="134"/>
    <col min="7681" max="7681" width="27" style="134" customWidth="1"/>
    <col min="7682" max="7685" width="16.44140625" style="134" customWidth="1"/>
    <col min="7686" max="7687" width="14.33203125" style="134" customWidth="1"/>
    <col min="7688" max="7936" width="9.109375" style="134"/>
    <col min="7937" max="7937" width="27" style="134" customWidth="1"/>
    <col min="7938" max="7941" width="16.44140625" style="134" customWidth="1"/>
    <col min="7942" max="7943" width="14.33203125" style="134" customWidth="1"/>
    <col min="7944" max="8192" width="9.109375" style="134"/>
    <col min="8193" max="8193" width="27" style="134" customWidth="1"/>
    <col min="8194" max="8197" width="16.44140625" style="134" customWidth="1"/>
    <col min="8198" max="8199" width="14.33203125" style="134" customWidth="1"/>
    <col min="8200" max="8448" width="9.109375" style="134"/>
    <col min="8449" max="8449" width="27" style="134" customWidth="1"/>
    <col min="8450" max="8453" width="16.44140625" style="134" customWidth="1"/>
    <col min="8454" max="8455" width="14.33203125" style="134" customWidth="1"/>
    <col min="8456" max="8704" width="9.109375" style="134"/>
    <col min="8705" max="8705" width="27" style="134" customWidth="1"/>
    <col min="8706" max="8709" width="16.44140625" style="134" customWidth="1"/>
    <col min="8710" max="8711" width="14.33203125" style="134" customWidth="1"/>
    <col min="8712" max="8960" width="9.109375" style="134"/>
    <col min="8961" max="8961" width="27" style="134" customWidth="1"/>
    <col min="8962" max="8965" width="16.44140625" style="134" customWidth="1"/>
    <col min="8966" max="8967" width="14.33203125" style="134" customWidth="1"/>
    <col min="8968" max="9216" width="9.109375" style="134"/>
    <col min="9217" max="9217" width="27" style="134" customWidth="1"/>
    <col min="9218" max="9221" width="16.44140625" style="134" customWidth="1"/>
    <col min="9222" max="9223" width="14.33203125" style="134" customWidth="1"/>
    <col min="9224" max="9472" width="9.109375" style="134"/>
    <col min="9473" max="9473" width="27" style="134" customWidth="1"/>
    <col min="9474" max="9477" width="16.44140625" style="134" customWidth="1"/>
    <col min="9478" max="9479" width="14.33203125" style="134" customWidth="1"/>
    <col min="9480" max="9728" width="9.109375" style="134"/>
    <col min="9729" max="9729" width="27" style="134" customWidth="1"/>
    <col min="9730" max="9733" width="16.44140625" style="134" customWidth="1"/>
    <col min="9734" max="9735" width="14.33203125" style="134" customWidth="1"/>
    <col min="9736" max="9984" width="9.109375" style="134"/>
    <col min="9985" max="9985" width="27" style="134" customWidth="1"/>
    <col min="9986" max="9989" width="16.44140625" style="134" customWidth="1"/>
    <col min="9990" max="9991" width="14.33203125" style="134" customWidth="1"/>
    <col min="9992" max="10240" width="9.109375" style="134"/>
    <col min="10241" max="10241" width="27" style="134" customWidth="1"/>
    <col min="10242" max="10245" width="16.44140625" style="134" customWidth="1"/>
    <col min="10246" max="10247" width="14.33203125" style="134" customWidth="1"/>
    <col min="10248" max="10496" width="9.109375" style="134"/>
    <col min="10497" max="10497" width="27" style="134" customWidth="1"/>
    <col min="10498" max="10501" width="16.44140625" style="134" customWidth="1"/>
    <col min="10502" max="10503" width="14.33203125" style="134" customWidth="1"/>
    <col min="10504" max="10752" width="9.109375" style="134"/>
    <col min="10753" max="10753" width="27" style="134" customWidth="1"/>
    <col min="10754" max="10757" width="16.44140625" style="134" customWidth="1"/>
    <col min="10758" max="10759" width="14.33203125" style="134" customWidth="1"/>
    <col min="10760" max="11008" width="9.109375" style="134"/>
    <col min="11009" max="11009" width="27" style="134" customWidth="1"/>
    <col min="11010" max="11013" width="16.44140625" style="134" customWidth="1"/>
    <col min="11014" max="11015" width="14.33203125" style="134" customWidth="1"/>
    <col min="11016" max="11264" width="9.109375" style="134"/>
    <col min="11265" max="11265" width="27" style="134" customWidth="1"/>
    <col min="11266" max="11269" width="16.44140625" style="134" customWidth="1"/>
    <col min="11270" max="11271" width="14.33203125" style="134" customWidth="1"/>
    <col min="11272" max="11520" width="9.109375" style="134"/>
    <col min="11521" max="11521" width="27" style="134" customWidth="1"/>
    <col min="11522" max="11525" width="16.44140625" style="134" customWidth="1"/>
    <col min="11526" max="11527" width="14.33203125" style="134" customWidth="1"/>
    <col min="11528" max="11776" width="9.109375" style="134"/>
    <col min="11777" max="11777" width="27" style="134" customWidth="1"/>
    <col min="11778" max="11781" width="16.44140625" style="134" customWidth="1"/>
    <col min="11782" max="11783" width="14.33203125" style="134" customWidth="1"/>
    <col min="11784" max="12032" width="9.109375" style="134"/>
    <col min="12033" max="12033" width="27" style="134" customWidth="1"/>
    <col min="12034" max="12037" width="16.44140625" style="134" customWidth="1"/>
    <col min="12038" max="12039" width="14.33203125" style="134" customWidth="1"/>
    <col min="12040" max="12288" width="9.109375" style="134"/>
    <col min="12289" max="12289" width="27" style="134" customWidth="1"/>
    <col min="12290" max="12293" width="16.44140625" style="134" customWidth="1"/>
    <col min="12294" max="12295" width="14.33203125" style="134" customWidth="1"/>
    <col min="12296" max="12544" width="9.109375" style="134"/>
    <col min="12545" max="12545" width="27" style="134" customWidth="1"/>
    <col min="12546" max="12549" width="16.44140625" style="134" customWidth="1"/>
    <col min="12550" max="12551" width="14.33203125" style="134" customWidth="1"/>
    <col min="12552" max="12800" width="9.109375" style="134"/>
    <col min="12801" max="12801" width="27" style="134" customWidth="1"/>
    <col min="12802" max="12805" width="16.44140625" style="134" customWidth="1"/>
    <col min="12806" max="12807" width="14.33203125" style="134" customWidth="1"/>
    <col min="12808" max="13056" width="9.109375" style="134"/>
    <col min="13057" max="13057" width="27" style="134" customWidth="1"/>
    <col min="13058" max="13061" width="16.44140625" style="134" customWidth="1"/>
    <col min="13062" max="13063" width="14.33203125" style="134" customWidth="1"/>
    <col min="13064" max="13312" width="9.109375" style="134"/>
    <col min="13313" max="13313" width="27" style="134" customWidth="1"/>
    <col min="13314" max="13317" width="16.44140625" style="134" customWidth="1"/>
    <col min="13318" max="13319" width="14.33203125" style="134" customWidth="1"/>
    <col min="13320" max="13568" width="9.109375" style="134"/>
    <col min="13569" max="13569" width="27" style="134" customWidth="1"/>
    <col min="13570" max="13573" width="16.44140625" style="134" customWidth="1"/>
    <col min="13574" max="13575" width="14.33203125" style="134" customWidth="1"/>
    <col min="13576" max="13824" width="9.109375" style="134"/>
    <col min="13825" max="13825" width="27" style="134" customWidth="1"/>
    <col min="13826" max="13829" width="16.44140625" style="134" customWidth="1"/>
    <col min="13830" max="13831" width="14.33203125" style="134" customWidth="1"/>
    <col min="13832" max="14080" width="9.109375" style="134"/>
    <col min="14081" max="14081" width="27" style="134" customWidth="1"/>
    <col min="14082" max="14085" width="16.44140625" style="134" customWidth="1"/>
    <col min="14086" max="14087" width="14.33203125" style="134" customWidth="1"/>
    <col min="14088" max="14336" width="9.109375" style="134"/>
    <col min="14337" max="14337" width="27" style="134" customWidth="1"/>
    <col min="14338" max="14341" width="16.44140625" style="134" customWidth="1"/>
    <col min="14342" max="14343" width="14.33203125" style="134" customWidth="1"/>
    <col min="14344" max="14592" width="9.109375" style="134"/>
    <col min="14593" max="14593" width="27" style="134" customWidth="1"/>
    <col min="14594" max="14597" width="16.44140625" style="134" customWidth="1"/>
    <col min="14598" max="14599" width="14.33203125" style="134" customWidth="1"/>
    <col min="14600" max="14848" width="9.109375" style="134"/>
    <col min="14849" max="14849" width="27" style="134" customWidth="1"/>
    <col min="14850" max="14853" width="16.44140625" style="134" customWidth="1"/>
    <col min="14854" max="14855" width="14.33203125" style="134" customWidth="1"/>
    <col min="14856" max="15104" width="9.109375" style="134"/>
    <col min="15105" max="15105" width="27" style="134" customWidth="1"/>
    <col min="15106" max="15109" width="16.44140625" style="134" customWidth="1"/>
    <col min="15110" max="15111" width="14.33203125" style="134" customWidth="1"/>
    <col min="15112" max="15360" width="9.109375" style="134"/>
    <col min="15361" max="15361" width="27" style="134" customWidth="1"/>
    <col min="15362" max="15365" width="16.44140625" style="134" customWidth="1"/>
    <col min="15366" max="15367" width="14.33203125" style="134" customWidth="1"/>
    <col min="15368" max="15616" width="9.109375" style="134"/>
    <col min="15617" max="15617" width="27" style="134" customWidth="1"/>
    <col min="15618" max="15621" width="16.44140625" style="134" customWidth="1"/>
    <col min="15622" max="15623" width="14.33203125" style="134" customWidth="1"/>
    <col min="15624" max="15872" width="9.109375" style="134"/>
    <col min="15873" max="15873" width="27" style="134" customWidth="1"/>
    <col min="15874" max="15877" width="16.44140625" style="134" customWidth="1"/>
    <col min="15878" max="15879" width="14.33203125" style="134" customWidth="1"/>
    <col min="15880" max="16128" width="9.109375" style="134"/>
    <col min="16129" max="16129" width="27" style="134" customWidth="1"/>
    <col min="16130" max="16133" width="16.44140625" style="134" customWidth="1"/>
    <col min="16134" max="16135" width="14.33203125" style="134" customWidth="1"/>
    <col min="16136" max="16384" width="9.109375" style="134"/>
  </cols>
  <sheetData>
    <row r="2" spans="1:5" ht="21" x14ac:dyDescent="0.4">
      <c r="A2" s="133" t="s">
        <v>83</v>
      </c>
    </row>
    <row r="4" spans="1:5" ht="14.4" x14ac:dyDescent="0.3">
      <c r="B4" s="135">
        <v>2012</v>
      </c>
      <c r="C4" s="135">
        <v>2013</v>
      </c>
      <c r="D4" s="135">
        <v>2014</v>
      </c>
      <c r="E4" s="135">
        <v>2015</v>
      </c>
    </row>
    <row r="5" spans="1:5" ht="14.4" x14ac:dyDescent="0.3">
      <c r="A5" s="136" t="s">
        <v>79</v>
      </c>
      <c r="B5" s="137">
        <f t="shared" ref="B5:E13" si="0" xml:space="preserve"> SUMIF( $B$21:$B$31, $A5, C$21:C$31 )</f>
        <v>0</v>
      </c>
      <c r="C5" s="138">
        <f t="shared" si="0"/>
        <v>0.40000000002328306</v>
      </c>
      <c r="D5" s="139">
        <f xml:space="preserve"> SUMIF( $B$21:$B$31, $A5, E$21:E$31 )</f>
        <v>25934.200000000012</v>
      </c>
      <c r="E5" s="139">
        <f xml:space="preserve"> SUMIF( $B$21:$B$32, $A5, F$21:F$32 )</f>
        <v>469671.2</v>
      </c>
    </row>
    <row r="6" spans="1:5" ht="14.4" x14ac:dyDescent="0.3">
      <c r="A6" s="136" t="s">
        <v>84</v>
      </c>
      <c r="B6" s="140">
        <f t="shared" si="0"/>
        <v>0</v>
      </c>
      <c r="C6" s="141">
        <f t="shared" si="0"/>
        <v>0</v>
      </c>
      <c r="D6" s="142">
        <f t="shared" si="0"/>
        <v>0</v>
      </c>
      <c r="E6" s="142">
        <f t="shared" si="0"/>
        <v>0</v>
      </c>
    </row>
    <row r="7" spans="1:5" ht="14.4" x14ac:dyDescent="0.3">
      <c r="A7" s="136" t="s">
        <v>82</v>
      </c>
      <c r="B7" s="140">
        <f t="shared" si="0"/>
        <v>191205</v>
      </c>
      <c r="C7" s="141">
        <f t="shared" si="0"/>
        <v>192016.19840384426</v>
      </c>
      <c r="D7" s="142">
        <f t="shared" si="0"/>
        <v>170089.19840384426</v>
      </c>
      <c r="E7" s="142">
        <f t="shared" si="0"/>
        <v>170089.19840384426</v>
      </c>
    </row>
    <row r="8" spans="1:5" ht="14.4" x14ac:dyDescent="0.3">
      <c r="A8" s="136" t="s">
        <v>85</v>
      </c>
      <c r="B8" s="140">
        <f t="shared" si="0"/>
        <v>0</v>
      </c>
      <c r="C8" s="141">
        <f t="shared" si="0"/>
        <v>0</v>
      </c>
      <c r="D8" s="142">
        <f t="shared" si="0"/>
        <v>0</v>
      </c>
      <c r="E8" s="142">
        <f t="shared" si="0"/>
        <v>0</v>
      </c>
    </row>
    <row r="9" spans="1:5" ht="14.4" x14ac:dyDescent="0.3">
      <c r="A9" s="136" t="s">
        <v>86</v>
      </c>
      <c r="B9" s="140">
        <f t="shared" si="0"/>
        <v>0</v>
      </c>
      <c r="C9" s="141">
        <f t="shared" si="0"/>
        <v>0</v>
      </c>
      <c r="D9" s="142">
        <f t="shared" si="0"/>
        <v>0</v>
      </c>
      <c r="E9" s="142">
        <f t="shared" si="0"/>
        <v>0</v>
      </c>
    </row>
    <row r="10" spans="1:5" ht="14.4" x14ac:dyDescent="0.3">
      <c r="A10" s="136" t="s">
        <v>87</v>
      </c>
      <c r="B10" s="140">
        <f t="shared" si="0"/>
        <v>0</v>
      </c>
      <c r="C10" s="141">
        <f t="shared" si="0"/>
        <v>0</v>
      </c>
      <c r="D10" s="142">
        <f t="shared" si="0"/>
        <v>0</v>
      </c>
      <c r="E10" s="142">
        <f t="shared" si="0"/>
        <v>0</v>
      </c>
    </row>
    <row r="11" spans="1:5" ht="14.4" x14ac:dyDescent="0.3">
      <c r="A11" s="136" t="s">
        <v>88</v>
      </c>
      <c r="B11" s="140">
        <f t="shared" si="0"/>
        <v>0</v>
      </c>
      <c r="C11" s="141">
        <f t="shared" si="0"/>
        <v>0</v>
      </c>
      <c r="D11" s="142">
        <f t="shared" si="0"/>
        <v>0</v>
      </c>
      <c r="E11" s="142">
        <f t="shared" si="0"/>
        <v>0</v>
      </c>
    </row>
    <row r="12" spans="1:5" ht="14.4" x14ac:dyDescent="0.3">
      <c r="A12" s="136" t="s">
        <v>89</v>
      </c>
      <c r="B12" s="140">
        <f t="shared" si="0"/>
        <v>0</v>
      </c>
      <c r="C12" s="141">
        <f t="shared" si="0"/>
        <v>0</v>
      </c>
      <c r="D12" s="142">
        <f t="shared" si="0"/>
        <v>0</v>
      </c>
      <c r="E12" s="142">
        <f t="shared" si="0"/>
        <v>0</v>
      </c>
    </row>
    <row r="13" spans="1:5" ht="14.4" x14ac:dyDescent="0.3">
      <c r="A13" s="136" t="s">
        <v>90</v>
      </c>
      <c r="B13" s="143">
        <f t="shared" si="0"/>
        <v>0</v>
      </c>
      <c r="C13" s="144">
        <f t="shared" si="0"/>
        <v>0</v>
      </c>
      <c r="D13" s="145">
        <f t="shared" si="0"/>
        <v>0</v>
      </c>
      <c r="E13" s="145">
        <f t="shared" si="0"/>
        <v>0</v>
      </c>
    </row>
    <row r="14" spans="1:5" ht="15.6" x14ac:dyDescent="0.3">
      <c r="A14" s="146" t="s">
        <v>67</v>
      </c>
      <c r="B14" s="147">
        <f>SUM(B5:B13)</f>
        <v>191205</v>
      </c>
      <c r="C14" s="147">
        <f t="shared" ref="C14:D14" si="1">SUM(C5:C13)</f>
        <v>192016.59840384428</v>
      </c>
      <c r="D14" s="147">
        <f t="shared" si="1"/>
        <v>196023.39840384427</v>
      </c>
      <c r="E14" s="147">
        <f t="shared" ref="E14" si="2">SUM(E5:E13)</f>
        <v>639760.39840384433</v>
      </c>
    </row>
    <row r="19" spans="1:6" outlineLevel="1" x14ac:dyDescent="0.3"/>
    <row r="20" spans="1:6" ht="14.4" outlineLevel="1" x14ac:dyDescent="0.3">
      <c r="A20" s="148" t="s">
        <v>51</v>
      </c>
      <c r="B20" s="149" t="s">
        <v>91</v>
      </c>
      <c r="C20" s="149">
        <v>2012</v>
      </c>
      <c r="D20" s="149">
        <v>2013</v>
      </c>
      <c r="E20" s="149">
        <v>2014</v>
      </c>
      <c r="F20" s="149">
        <v>2015</v>
      </c>
    </row>
    <row r="21" spans="1:6" ht="14.4" outlineLevel="1" x14ac:dyDescent="0.3">
      <c r="A21" s="150" t="str">
        <f>'Facility Detail'!B2</f>
        <v>Long Lake #3</v>
      </c>
      <c r="B21" s="150" t="str">
        <f xml:space="preserve"> IF( 'Facility Detail'!D2 = "", "", 'Facility Detail'!D2 )</f>
        <v>Water (Incremental Hydro)</v>
      </c>
      <c r="C21" s="137">
        <f>'Facility Detail'!D66</f>
        <v>14197</v>
      </c>
      <c r="D21" s="138">
        <f>'Facility Detail'!E66</f>
        <v>14197.425619726186</v>
      </c>
      <c r="E21" s="139">
        <f>'Facility Detail'!F66</f>
        <v>14197.425619726186</v>
      </c>
      <c r="F21" s="139">
        <f>'Facility Detail'!G66</f>
        <v>14197.425619726186</v>
      </c>
    </row>
    <row r="22" spans="1:6" ht="14.4" outlineLevel="1" x14ac:dyDescent="0.3">
      <c r="A22" s="151" t="str">
        <f>'Facility Detail'!B3</f>
        <v>Little Falls #4</v>
      </c>
      <c r="B22" s="151" t="str">
        <f xml:space="preserve"> IF( 'Facility Detail'!D3 = "", "", 'Facility Detail'!D3 )</f>
        <v>Water (Incremental Hydro)</v>
      </c>
      <c r="C22" s="140">
        <f>'Facility Detail'!D101</f>
        <v>4862</v>
      </c>
      <c r="D22" s="141">
        <f>'Facility Detail'!E101</f>
        <v>4862.043486025068</v>
      </c>
      <c r="E22" s="142">
        <f>'Facility Detail'!F101</f>
        <v>4862.043486025068</v>
      </c>
      <c r="F22" s="142">
        <f>'Facility Detail'!G101</f>
        <v>4862.043486025068</v>
      </c>
    </row>
    <row r="23" spans="1:6" ht="14.4" outlineLevel="1" x14ac:dyDescent="0.3">
      <c r="A23" s="151" t="str">
        <f>'Facility Detail'!B4</f>
        <v>Cabinet Gorge #2</v>
      </c>
      <c r="B23" s="151" t="str">
        <f xml:space="preserve"> IF( 'Facility Detail'!D4 = "", "", 'Facility Detail'!D4 )</f>
        <v>Water (Incremental Hydro)</v>
      </c>
      <c r="C23" s="140">
        <f>'Facility Detail'!D136</f>
        <v>29008</v>
      </c>
      <c r="D23" s="141">
        <f>'Facility Detail'!E136</f>
        <v>29008.28461994743</v>
      </c>
      <c r="E23" s="142">
        <f>'Facility Detail'!F136</f>
        <v>29008.28461994743</v>
      </c>
      <c r="F23" s="142">
        <f>'Facility Detail'!G136</f>
        <v>29008.28461994743</v>
      </c>
    </row>
    <row r="24" spans="1:6" ht="14.4" outlineLevel="1" x14ac:dyDescent="0.3">
      <c r="A24" s="151" t="str">
        <f>'Facility Detail'!B5</f>
        <v>Cabinet Gorge #3</v>
      </c>
      <c r="B24" s="151" t="str">
        <f xml:space="preserve"> IF( 'Facility Detail'!D5 = "", "", 'Facility Detail'!D5 )</f>
        <v>Water (Incremental Hydro)</v>
      </c>
      <c r="C24" s="140">
        <f>'Facility Detail'!D171</f>
        <v>45808</v>
      </c>
      <c r="D24" s="141">
        <f>'Facility Detail'!E171</f>
        <v>45807.517793306077</v>
      </c>
      <c r="E24" s="142">
        <f>'Facility Detail'!F171</f>
        <v>45807.517793306077</v>
      </c>
      <c r="F24" s="142">
        <f>'Facility Detail'!G171</f>
        <v>45807.517793306077</v>
      </c>
    </row>
    <row r="25" spans="1:6" ht="14.4" outlineLevel="1" x14ac:dyDescent="0.3">
      <c r="A25" s="151" t="str">
        <f>'Facility Detail'!B6</f>
        <v>Cabinet Gorge #4</v>
      </c>
      <c r="B25" s="151" t="str">
        <f xml:space="preserve"> IF( 'Facility Detail'!D6 = "", "", 'Facility Detail'!D6 )</f>
        <v>Water (Incremental Hydro)</v>
      </c>
      <c r="C25" s="140">
        <f>'Facility Detail'!D206</f>
        <v>20517</v>
      </c>
      <c r="D25" s="141">
        <f>'Facility Detail'!E206</f>
        <v>20517</v>
      </c>
      <c r="E25" s="142">
        <f>'Facility Detail'!F206</f>
        <v>20517</v>
      </c>
      <c r="F25" s="142">
        <f>'Facility Detail'!G206</f>
        <v>20517</v>
      </c>
    </row>
    <row r="26" spans="1:6" ht="14.4" outlineLevel="1" x14ac:dyDescent="0.3">
      <c r="A26" s="151" t="str">
        <f>'Facility Detail'!B7</f>
        <v>Noxon Rapids #1</v>
      </c>
      <c r="B26" s="151" t="str">
        <f xml:space="preserve"> IF( 'Facility Detail'!D7 = "", "", 'Facility Detail'!D7 )</f>
        <v>Water (Incremental Hydro)</v>
      </c>
      <c r="C26" s="140">
        <f>'Facility Detail'!D241</f>
        <v>21435</v>
      </c>
      <c r="D26" s="141">
        <f>'Facility Detail'!E241</f>
        <v>21435</v>
      </c>
      <c r="E26" s="142">
        <f>'Facility Detail'!F241</f>
        <v>21435</v>
      </c>
      <c r="F26" s="142">
        <f>'Facility Detail'!G241</f>
        <v>21435</v>
      </c>
    </row>
    <row r="27" spans="1:6" ht="14.4" outlineLevel="1" x14ac:dyDescent="0.3">
      <c r="A27" s="151" t="str">
        <f>'Facility Detail'!B8</f>
        <v>Noxon Rapids #2</v>
      </c>
      <c r="B27" s="151" t="str">
        <f xml:space="preserve"> IF( 'Facility Detail'!D8 = "", "", 'Facility Detail'!D8 )</f>
        <v>Water (Incremental Hydro)</v>
      </c>
      <c r="C27" s="140">
        <f>'Facility Detail'!D276</f>
        <v>7709</v>
      </c>
      <c r="D27" s="141">
        <f>'Facility Detail'!E276</f>
        <v>7709.3339427714673</v>
      </c>
      <c r="E27" s="142">
        <f>'Facility Detail'!F276</f>
        <v>7709.3339427714673</v>
      </c>
      <c r="F27" s="142">
        <f>'Facility Detail'!G276</f>
        <v>7709.3339427714673</v>
      </c>
    </row>
    <row r="28" spans="1:6" ht="14.4" outlineLevel="1" x14ac:dyDescent="0.3">
      <c r="A28" s="151" t="str">
        <f>'Facility Detail'!B9</f>
        <v>Noxon Rapids #3</v>
      </c>
      <c r="B28" s="151" t="str">
        <f xml:space="preserve"> IF( 'Facility Detail'!D9 = "", "", 'Facility Detail'!D9 )</f>
        <v>Water (Incremental Hydro)</v>
      </c>
      <c r="C28" s="140">
        <f>'Facility Detail'!D311</f>
        <v>14529</v>
      </c>
      <c r="D28" s="141">
        <f>'Facility Detail'!E311</f>
        <v>14528.592942067989</v>
      </c>
      <c r="E28" s="142">
        <f>'Facility Detail'!F311</f>
        <v>14528.592942067989</v>
      </c>
      <c r="F28" s="142">
        <f>'Facility Detail'!G311</f>
        <v>14528.592942067989</v>
      </c>
    </row>
    <row r="29" spans="1:6" ht="14.4" outlineLevel="1" x14ac:dyDescent="0.3">
      <c r="A29" s="151" t="str">
        <f>'Facility Detail'!B10</f>
        <v>Noxon Rapids #4</v>
      </c>
      <c r="B29" s="151" t="str">
        <f xml:space="preserve"> IF( 'Facility Detail'!D10 = "", "", 'Facility Detail'!D10 )</f>
        <v>Water (Incremental Hydro)</v>
      </c>
      <c r="C29" s="140">
        <f>'Facility Detail'!D346</f>
        <v>10934</v>
      </c>
      <c r="D29" s="141">
        <f>'Facility Detail'!E346</f>
        <v>12024</v>
      </c>
      <c r="E29" s="142">
        <f>'Facility Detail'!F346</f>
        <v>12024</v>
      </c>
      <c r="F29" s="142">
        <f>'Facility Detail'!G346</f>
        <v>12024</v>
      </c>
    </row>
    <row r="30" spans="1:6" ht="14.4" outlineLevel="1" x14ac:dyDescent="0.3">
      <c r="A30" s="151" t="str">
        <f>'Facility Detail'!B11</f>
        <v>Wanapum Fish Bypass</v>
      </c>
      <c r="B30" s="151" t="str">
        <f xml:space="preserve"> IF( 'Facility Detail'!D11 = "", "", 'Facility Detail'!D11 )</f>
        <v>Water (Incremental Hydro)</v>
      </c>
      <c r="C30" s="140">
        <f>'Facility Detail'!D381</f>
        <v>22206</v>
      </c>
      <c r="D30" s="141">
        <f>'Facility Detail'!E381</f>
        <v>21927</v>
      </c>
      <c r="E30" s="141">
        <f>'Facility Detail'!F381</f>
        <v>0</v>
      </c>
      <c r="F30" s="141">
        <f>'Facility Detail'!G381</f>
        <v>0</v>
      </c>
    </row>
    <row r="31" spans="1:6" ht="14.4" outlineLevel="1" x14ac:dyDescent="0.3">
      <c r="A31" s="151" t="str">
        <f>'Facility Detail'!B12</f>
        <v>Palouse Wind</v>
      </c>
      <c r="B31" s="151" t="str">
        <f xml:space="preserve"> IF( 'Facility Detail'!D12 = "", "", 'Facility Detail'!D12 )</f>
        <v>Wind</v>
      </c>
      <c r="C31" s="140">
        <f>'Facility Detail'!D416</f>
        <v>0</v>
      </c>
      <c r="D31" s="141">
        <f>'Facility Detail'!E416</f>
        <v>0.40000000002328306</v>
      </c>
      <c r="E31" s="142">
        <f>'Facility Detail'!F416</f>
        <v>25934.200000000012</v>
      </c>
      <c r="F31" s="142">
        <f>'Facility Detail'!G416</f>
        <v>419671.2</v>
      </c>
    </row>
    <row r="32" spans="1:6" ht="14.4" outlineLevel="1" x14ac:dyDescent="0.3">
      <c r="A32" s="151" t="str">
        <f>'Facility Detail'!B13</f>
        <v>Stateline Wind REC Purchase</v>
      </c>
      <c r="B32" s="151" t="str">
        <f xml:space="preserve"> IF( 'Facility Detail'!D13 = "", "", 'Facility Detail'!D13 )</f>
        <v>Wind</v>
      </c>
      <c r="C32" s="140">
        <f>'Facility Detail'!D417</f>
        <v>0</v>
      </c>
      <c r="D32" s="141">
        <f>'Facility Detail'!E417</f>
        <v>0</v>
      </c>
      <c r="E32" s="142">
        <f>'Facility Detail'!F417</f>
        <v>0</v>
      </c>
      <c r="F32" s="142">
        <f>'Facility Detail'!G449</f>
        <v>50000</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481409183124468F82471CEBACCD6E" ma:contentTypeVersion="111" ma:contentTypeDescription="" ma:contentTypeScope="" ma:versionID="a072b4a87f0a43118822ca86bd5619a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2015-05-29T07:00:00+00:00</OpenedDate>
    <Date1 xmlns="dc463f71-b30c-4ab2-9473-d307f9d35888">2015-05-29T07:00:00+00:00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151145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AE86A67C-F5C4-4034-AEB6-799A05005CFD}"/>
</file>

<file path=customXml/itemProps2.xml><?xml version="1.0" encoding="utf-8"?>
<ds:datastoreItem xmlns:ds="http://schemas.openxmlformats.org/officeDocument/2006/customXml" ds:itemID="{AF8E402A-2CD8-49C5-98CA-5813CD37EC3E}"/>
</file>

<file path=customXml/itemProps3.xml><?xml version="1.0" encoding="utf-8"?>
<ds:datastoreItem xmlns:ds="http://schemas.openxmlformats.org/officeDocument/2006/customXml" ds:itemID="{567071B0-E7EF-4F52-A21B-EB5534C27F7C}"/>
</file>

<file path=customXml/itemProps4.xml><?xml version="1.0" encoding="utf-8"?>
<ds:datastoreItem xmlns:ds="http://schemas.openxmlformats.org/officeDocument/2006/customXml" ds:itemID="{F21503AB-D622-4D3D-A6F5-6846946FE2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Summary</vt:lpstr>
      <vt:lpstr>Facility Detail</vt:lpstr>
      <vt:lpstr>Generation Rollup</vt:lpstr>
      <vt:lpstr>Facility</vt:lpstr>
      <vt:lpstr>'Generation Rollup'!LaborBonus</vt:lpstr>
      <vt:lpstr>LaborBonus</vt:lpstr>
      <vt:lpstr>'Facility Detail'!Print_Area</vt:lpstr>
      <vt:lpstr>Summary!Print_Area</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Denise Crawford</cp:lastModifiedBy>
  <cp:lastPrinted>2014-05-29T17:21:02Z</cp:lastPrinted>
  <dcterms:created xsi:type="dcterms:W3CDTF">2011-06-02T16:07:19Z</dcterms:created>
  <dcterms:modified xsi:type="dcterms:W3CDTF">2015-05-29T22:15:49Z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0x0101006E56B4D1795A2E4DB2F0B01679ED314A00B4481409183124468F82471CEBACCD6E</vt:lpwstr>
  </property>
  <property fmtid="{D5CDD505-2E9C-101B-9397-08002B2CF9AE}" pid="3" name="_docset_NoMedatataSyncRequired">
    <vt:lpwstr>False</vt:lpwstr>
  </property>
</Properties>
</file>