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50" windowWidth="21070" windowHeight="10030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C42" i="9" l="1"/>
  <c r="C42" i="1"/>
  <c r="C25" i="8" l="1"/>
  <c r="B25" i="8"/>
  <c r="B11" i="8" l="1"/>
  <c r="C11" i="8"/>
  <c r="D10" i="8" l="1"/>
  <c r="B5" i="10" l="1"/>
  <c r="A4" i="3"/>
  <c r="D12" i="3" l="1"/>
  <c r="D13" i="3"/>
  <c r="D10" i="3"/>
  <c r="C13" i="3"/>
  <c r="C12" i="3"/>
  <c r="D30" i="1"/>
  <c r="D30" i="9"/>
  <c r="A3" i="8"/>
  <c r="A3" i="7"/>
  <c r="A3" i="5"/>
  <c r="B5" i="9"/>
  <c r="B5" i="1"/>
  <c r="A2" i="11" l="1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D37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D11" i="8"/>
  <c r="B12" i="8"/>
  <c r="E10" i="8"/>
  <c r="E14" i="7"/>
  <c r="F40" i="5"/>
  <c r="F22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H48" i="2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<sst xmlns="http://schemas.openxmlformats.org/spreadsheetml/2006/main" count="580" uniqueCount="230">
  <si>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</si>
  <si>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</si>
  <si>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</si>
  <si>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</si>
  <si>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</si>
  <si>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</si>
  <si>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</si>
  <si>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</si>
  <si>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</si>
  <si>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</si>
  <si>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</si>
  <si>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</si>
  <si>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</si>
  <si>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</si>
  <si>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</si>
  <si>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</si>
  <si>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</si>
  <si>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</si>
  <si>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</si>
  <si>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</si>
  <si>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</si>
  <si>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</si>
  <si>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</si>
  <si>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</si>
  <si>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</si>
  <si>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</si>
  <si>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</si>
  <si>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</si>
  <si>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</si>
  <si>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</si>
  <si>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</si>
  <si>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</si>
  <si>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</si>
  <si>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</si>
  <si>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</si>
  <si>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</si>
  <si>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</si>
  <si>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</si>
  <si>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</si>
  <si>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</si>
  <si>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</si>
  <si>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</si>
  <si>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</si>
  <si>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</si>
  <si>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</si>
  <si>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</si>
  <si>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</si>
  <si>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</si>
  <si>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</si>
  <si>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</si>
  <si>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</si>
  <si>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</si>
  <si>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</si>
  <si>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</si>
  <si>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</si>
  <si>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</si>
  <si>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</si>
  <si>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</si>
  <si>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</si>
  <si>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</si>
  <si>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</si>
  <si>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</si>
  <si>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</si>
  <si>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</si>
  <si>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</si>
  <si>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</si>
  <si>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</si>
  <si>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</si>
  <si>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</si>
  <si>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</si>
  <si>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</si>
  <si>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</si>
  <si>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</si>
  <si>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</si>
  <si>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</si>
  <si>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</si>
  <si>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</si>
  <si>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</si>
  <si>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</si>
  <si>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</si>
  <si>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</si>
  <si>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</si>
  <si>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</si>
  <si>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</si>
  <si>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</si>
  <si>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</si>
  <si>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</si>
  <si>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</si>
  <si>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</si>
  <si>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</si>
  <si>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</si>
  <si>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</si>
  <si>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</si>
  <si>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</si>
  <si>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</si>
  <si>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</si>
  <si>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</si>
  <si>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</si>
  <si>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</si>
  <si>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</si>
  <si>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</si>
  <si>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</si>
  <si>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</si>
  <si>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</si>
  <si>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</si>
  <si>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</si>
  <si>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</si>
  <si>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</si>
  <si>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</si>
  <si>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</si>
  <si>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</si>
  <si>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</si>
  <si>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</si>
  <si>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</si>
  <si>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</si>
  <si>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</si>
  <si>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</si>
  <si>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</si>
  <si>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</si>
  <si>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</si>
  <si>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</si>
  <si>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</si>
  <si>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</si>
  <si>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</si>
  <si>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</si>
  <si>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</si>
  <si>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</si>
  <si>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</si>
  <si>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</si>
  <si>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</si>
  <si>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</si>
  <si>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</si>
  <si>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</si>
  <si>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</si>
  <si>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</si>
  <si>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</si>
  <si>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</si>
  <si>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</si>
  <si>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</si>
  <si>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</si>
  <si>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</si>
  <si>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</si>
  <si>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</si>
  <si>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</si>
  <si>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</si>
  <si>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</si>
  <si>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</si>
  <si>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</si>
  <si>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</si>
  <si>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</si>
  <si>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</si>
  <si>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</si>
  <si>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</si>
  <si>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</si>
  <si>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</si>
  <si>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</si>
  <si>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</si>
  <si>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</si>
  <si>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</si>
  <si>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</si>
  <si>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</si>
  <si>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</si>
  <si>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</si>
  <si>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</si>
  <si>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</si>
  <si>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</si>
  <si>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</si>
  <si>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</si>
  <si>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</si>
  <si>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</si>
  <si>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</si>
  <si>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</si>
  <si>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</si>
  <si>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</si>
  <si>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</si>
  <si>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</si>
  <si>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</si>
  <si>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</si>
  <si>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</si>
  <si>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</si>
  <si>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</si>
  <si>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</si>
  <si>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</si>
  <si>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</si>
  <si>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</si>
  <si>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</si>
  <si>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</si>
  <si>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</si>
  <si>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</si>
  <si>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</si>
  <si>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</si>
  <si>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</si>
  <si>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</si>
  <si>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</si>
  <si>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</si>
  <si>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</si>
  <si>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</si>
  <si>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</si>
  <si>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</si>
  <si>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</si>
  <si>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</si>
  <si>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</si>
  <si>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</si>
  <si>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</si>
  <si>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</si>
  <si>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</si>
  <si>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</si>
  <si>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</si>
  <si>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</si>
  <si>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</si>
  <si>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</si>
  <si>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</si>
  <si>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</si>
  <si>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</si>
  <si>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</si>
  <si>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</si>
  <si>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</si>
  <si>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</si>
  <si>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</si>
  <si>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</si>
  <si>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</si>
  <si>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</si>
  <si>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</si>
  <si>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</si>
  <si>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</si>
  <si>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</si>
  <si>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</si>
  <si>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</si>
  <si>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</si>
  <si>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Kalama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</si>
</sst>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zoomScaleNormal="100" workbookViewId="0">
      <pane ySplit="8" topLeftCell="A9" activePane="bottomLeft" state="frozen"/>
      <selection pane="bottomLeft" activeCell="B10" sqref="B10"/>
    </sheetView>
  </sheetViews>
  <sheetFormatPr defaultRowHeight="14.5" x14ac:dyDescent="0.35"/>
  <cols>
    <col min="1" max="1" width="37" customWidth="1"/>
    <col min="2" max="2" width="13.90625" customWidth="1"/>
    <col min="3" max="3" width="13.90625" bestFit="1" customWidth="1"/>
    <col min="4" max="4" width="13.90625" customWidth="1"/>
    <col min="5" max="5" width="6.36328125" customWidth="1"/>
    <col min="6" max="6" width="45" bestFit="1" customWidth="1"/>
    <col min="7" max="9" width="13.9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695528</v>
      </c>
      <c r="C10" s="24"/>
      <c r="D10" s="75">
        <f>SUM(B10:C10)</f>
        <v>695528</v>
      </c>
      <c r="E10" s="19"/>
      <c r="F10" s="19" t="s">
        <v>83</v>
      </c>
      <c r="G10" s="65">
        <v>31299</v>
      </c>
      <c r="H10" s="24"/>
      <c r="I10" s="75">
        <f>SUM(G10:H10)</f>
        <v>31299</v>
      </c>
    </row>
    <row r="11" spans="1:9" x14ac:dyDescent="0.35">
      <c r="A11" s="19" t="s">
        <v>168</v>
      </c>
      <c r="B11" s="65"/>
      <c r="C11" s="24"/>
      <c r="D11" s="75">
        <f>SUM(B11:C11)</f>
        <v>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/>
      <c r="C13" s="24"/>
      <c r="D13" s="75">
        <f>SUM(B13:C13)</f>
        <v>0</v>
      </c>
      <c r="E13" s="19"/>
      <c r="F13" s="19" t="s">
        <v>88</v>
      </c>
      <c r="G13" s="65"/>
      <c r="H13" s="24"/>
      <c r="I13" s="75">
        <f t="shared" si="0"/>
        <v>0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169800</v>
      </c>
      <c r="H14" s="24"/>
      <c r="I14" s="75">
        <f t="shared" si="0"/>
        <v>169800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>
        <v>36574</v>
      </c>
      <c r="C17" s="24"/>
      <c r="D17" s="75">
        <f>SUM(B17:C17)</f>
        <v>36574</v>
      </c>
      <c r="E17" s="20"/>
      <c r="F17" s="19" t="s">
        <v>92</v>
      </c>
      <c r="G17" s="65"/>
      <c r="H17" s="24"/>
      <c r="I17" s="75">
        <f t="shared" si="0"/>
        <v>0</v>
      </c>
    </row>
    <row r="18" spans="1:9" x14ac:dyDescent="0.35">
      <c r="A18" s="19" t="s">
        <v>52</v>
      </c>
      <c r="B18" s="65">
        <v>195159</v>
      </c>
      <c r="C18" s="24"/>
      <c r="D18" s="75">
        <f t="shared" ref="D18:D24" si="2">SUM(B18:C18)</f>
        <v>195159</v>
      </c>
      <c r="E18" s="19"/>
      <c r="F18" s="19" t="s">
        <v>93</v>
      </c>
      <c r="G18" s="65">
        <v>15188</v>
      </c>
      <c r="H18" s="24"/>
      <c r="I18" s="75">
        <f t="shared" si="0"/>
        <v>15188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1777613</v>
      </c>
      <c r="H19" s="25"/>
      <c r="I19" s="76">
        <f t="shared" si="0"/>
        <v>1777613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1993900</v>
      </c>
      <c r="H20" s="24"/>
      <c r="I20" s="75">
        <f t="shared" ref="I20" si="3">SUM(I10:I19)</f>
        <v>1993900</v>
      </c>
    </row>
    <row r="21" spans="1:9" x14ac:dyDescent="0.35">
      <c r="A21" s="19" t="s">
        <v>54</v>
      </c>
      <c r="B21" s="65">
        <v>64120</v>
      </c>
      <c r="C21" s="67"/>
      <c r="D21" s="75">
        <f t="shared" si="2"/>
        <v>64120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/>
      <c r="H22" s="24"/>
      <c r="I22" s="75">
        <f>SUM(G22:H22)</f>
        <v>0</v>
      </c>
    </row>
    <row r="23" spans="1:9" x14ac:dyDescent="0.35">
      <c r="A23" s="19" t="s">
        <v>56</v>
      </c>
      <c r="B23" s="65"/>
      <c r="C23" s="24"/>
      <c r="D23" s="75">
        <f t="shared" si="2"/>
        <v>0</v>
      </c>
      <c r="E23" s="19"/>
      <c r="F23" s="19" t="s">
        <v>98</v>
      </c>
      <c r="G23" s="65">
        <v>992670</v>
      </c>
      <c r="H23" s="24"/>
      <c r="I23" s="75">
        <f t="shared" ref="I23:I31" si="4">SUM(G23:H23)</f>
        <v>992670</v>
      </c>
    </row>
    <row r="24" spans="1:9" x14ac:dyDescent="0.35">
      <c r="A24" s="19" t="s">
        <v>57</v>
      </c>
      <c r="B24" s="66">
        <v>22144</v>
      </c>
      <c r="C24" s="25"/>
      <c r="D24" s="76">
        <f t="shared" si="2"/>
        <v>22144</v>
      </c>
      <c r="E24" s="19"/>
      <c r="F24" s="19" t="s">
        <v>99</v>
      </c>
      <c r="G24" s="65"/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1013525</v>
      </c>
      <c r="C25" s="77">
        <f>C21</f>
        <v>0</v>
      </c>
      <c r="D25" s="75">
        <f t="shared" ref="D25" si="5">D10+D11+D13+D14+D15+D17+D18+D19+D20+D21+D22+D23+D24</f>
        <v>1013525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992670</v>
      </c>
      <c r="H32" s="24"/>
      <c r="I32" s="75">
        <f t="shared" ref="I32" si="6">SUM(I22:I31)</f>
        <v>992670</v>
      </c>
    </row>
    <row r="33" spans="1:9" x14ac:dyDescent="0.35">
      <c r="A33" s="19" t="s">
        <v>63</v>
      </c>
      <c r="B33" s="65"/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/>
      <c r="C34" s="78">
        <f>-1*(C46+C21)</f>
        <v>4224</v>
      </c>
      <c r="D34" s="75">
        <f t="shared" si="7"/>
        <v>4224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>
        <v>8068</v>
      </c>
      <c r="C35" s="24"/>
      <c r="D35" s="75">
        <f t="shared" si="7"/>
        <v>8068</v>
      </c>
      <c r="E35" s="19"/>
      <c r="F35" s="19" t="s">
        <v>172</v>
      </c>
      <c r="G35" s="65"/>
      <c r="H35" s="65"/>
      <c r="I35" s="75">
        <f t="shared" ref="I35:I36" si="8">SUM(G35:H35)</f>
        <v>0</v>
      </c>
    </row>
    <row r="36" spans="1:9" x14ac:dyDescent="0.35">
      <c r="A36" s="19" t="s">
        <v>68</v>
      </c>
      <c r="B36" s="65">
        <v>340720</v>
      </c>
      <c r="C36" s="24"/>
      <c r="D36" s="75">
        <f t="shared" si="7"/>
        <v>340720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0</v>
      </c>
      <c r="H37" s="75">
        <f t="shared" ref="H37:I37" si="9">SUM(H34:H36)</f>
        <v>0</v>
      </c>
      <c r="I37" s="75">
        <f t="shared" si="9"/>
        <v>0</v>
      </c>
    </row>
    <row r="38" spans="1:9" x14ac:dyDescent="0.35">
      <c r="A38" s="19" t="s">
        <v>70</v>
      </c>
      <c r="B38" s="75">
        <f>B29+B30+B32+B33+B34+B35+B36+B37</f>
        <v>348788</v>
      </c>
      <c r="C38" s="78">
        <f>C34</f>
        <v>4224</v>
      </c>
      <c r="D38" s="75">
        <f t="shared" ref="D38" si="10">D29+D30+D32+D33+D34+D35+D36+D37</f>
        <v>353012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35000</v>
      </c>
      <c r="H39" s="24"/>
      <c r="I39" s="75">
        <f>SUM(G39:H39)</f>
        <v>35000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/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16491019</v>
      </c>
      <c r="C41" s="65">
        <v>-39737</v>
      </c>
      <c r="D41" s="75">
        <f>SUM(B41:C41)</f>
        <v>16451282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>
        <v>389320</v>
      </c>
      <c r="C43" s="24"/>
      <c r="D43" s="75">
        <f t="shared" si="12"/>
        <v>389320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-13821570</v>
      </c>
      <c r="C45" s="66">
        <v>35513</v>
      </c>
      <c r="D45" s="76">
        <f t="shared" si="12"/>
        <v>-13786057</v>
      </c>
      <c r="E45" s="19"/>
      <c r="F45" s="19" t="s">
        <v>207</v>
      </c>
      <c r="G45" s="66">
        <v>1399512</v>
      </c>
      <c r="H45" s="76">
        <f>-1*H37</f>
        <v>0</v>
      </c>
      <c r="I45" s="76">
        <f t="shared" si="11"/>
        <v>1399512</v>
      </c>
    </row>
    <row r="46" spans="1:9" x14ac:dyDescent="0.35">
      <c r="A46" s="19" t="s">
        <v>76</v>
      </c>
      <c r="B46" s="75">
        <f>B41+B42+B43+B44+B45</f>
        <v>3058769</v>
      </c>
      <c r="C46" s="75">
        <f t="shared" ref="C46:D46" si="13">C41+C42+C43+C44+C45</f>
        <v>-4224</v>
      </c>
      <c r="D46" s="75">
        <f t="shared" si="13"/>
        <v>3054545</v>
      </c>
      <c r="E46" s="19"/>
      <c r="F46" s="19" t="s">
        <v>119</v>
      </c>
      <c r="G46" s="75">
        <f>SUM(G39:G45)</f>
        <v>1434512</v>
      </c>
      <c r="H46" s="80">
        <f t="shared" ref="H46:I46" si="14">SUM(H39:H45)</f>
        <v>0</v>
      </c>
      <c r="I46" s="75">
        <f t="shared" si="14"/>
        <v>1434512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4421082</v>
      </c>
      <c r="C48" s="79">
        <f t="shared" ref="C48:D48" si="15">C25+C38+C46</f>
        <v>0</v>
      </c>
      <c r="D48" s="79">
        <f t="shared" si="15"/>
        <v>4421082</v>
      </c>
      <c r="E48" s="19"/>
      <c r="F48" s="23" t="s">
        <v>120</v>
      </c>
      <c r="G48" s="79">
        <f>G20+G32+G37+G46</f>
        <v>4421082</v>
      </c>
      <c r="H48" s="79">
        <f t="shared" ref="H48:I48" si="16">H20+H32+H37+H46</f>
        <v>0</v>
      </c>
      <c r="I48" s="79">
        <f t="shared" si="16"/>
        <v>4421082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55000000000000004"/>
  <pageSetup scale="62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pane ySplit="7" topLeftCell="A8" activePane="bottomLeft" state="frozen"/>
      <selection pane="bottomLeft" activeCell="B13" sqref="B13"/>
    </sheetView>
  </sheetViews>
  <sheetFormatPr defaultRowHeight="14.5" x14ac:dyDescent="0.35"/>
  <cols>
    <col min="1" max="1" width="37.6328125" customWidth="1"/>
    <col min="2" max="2" width="13.90625" customWidth="1"/>
    <col min="3" max="3" width="13.90625" bestFit="1" customWidth="1"/>
    <col min="4" max="4" width="13.90625" customWidth="1"/>
    <col min="5" max="5" width="6.36328125" customWidth="1"/>
    <col min="6" max="6" width="45" bestFit="1" customWidth="1"/>
    <col min="7" max="9" width="13.90625" customWidth="1"/>
  </cols>
  <sheetData>
    <row r="1" spans="1:9" x14ac:dyDescent="0.35">
      <c r="A1" t="s">
        <v>226</v>
      </c>
    </row>
    <row r="2" spans="1:9" x14ac:dyDescent="0.35">
      <c r="A2" s="74" t="str">
        <f>+'PartABalance Sheet(PY)'!A3</f>
        <v>Kalama Telephone Company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598846</v>
      </c>
      <c r="C9" s="24"/>
      <c r="D9" s="38">
        <f>SUM(B9:C9)</f>
        <v>598846</v>
      </c>
      <c r="E9" s="19"/>
      <c r="F9" s="19" t="s">
        <v>83</v>
      </c>
      <c r="G9" s="65">
        <v>178707</v>
      </c>
      <c r="H9" s="24"/>
      <c r="I9" s="38">
        <f>SUM(G9:H9)</f>
        <v>178707</v>
      </c>
    </row>
    <row r="10" spans="1:9" x14ac:dyDescent="0.35">
      <c r="A10" s="19" t="s">
        <v>168</v>
      </c>
      <c r="B10" s="65"/>
      <c r="C10" s="24"/>
      <c r="D10" s="38">
        <f>SUM(B10:C10)</f>
        <v>0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/>
      <c r="C12" s="24"/>
      <c r="D12" s="38">
        <f>SUM(B12:C12)</f>
        <v>0</v>
      </c>
      <c r="E12" s="19"/>
      <c r="F12" s="19" t="s">
        <v>88</v>
      </c>
      <c r="G12" s="65"/>
      <c r="H12" s="24"/>
      <c r="I12" s="38">
        <f t="shared" si="0"/>
        <v>0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181200</v>
      </c>
      <c r="H13" s="24"/>
      <c r="I13" s="38">
        <f t="shared" si="0"/>
        <v>181200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>
        <v>31572</v>
      </c>
      <c r="C16" s="24"/>
      <c r="D16" s="38">
        <f>SUM(B16:C16)</f>
        <v>31572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>
        <v>267457</v>
      </c>
      <c r="C17" s="24"/>
      <c r="D17" s="38">
        <f t="shared" ref="D17:D23" si="2">SUM(B17:C17)</f>
        <v>267457</v>
      </c>
      <c r="E17" s="19"/>
      <c r="F17" s="19" t="s">
        <v>93</v>
      </c>
      <c r="G17" s="65">
        <v>16967</v>
      </c>
      <c r="H17" s="24"/>
      <c r="I17" s="38">
        <f t="shared" si="0"/>
        <v>16967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2111895</v>
      </c>
      <c r="H18" s="25"/>
      <c r="I18" s="39">
        <f t="shared" si="0"/>
        <v>2111895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2488769</v>
      </c>
      <c r="H19" s="24"/>
      <c r="I19" s="38">
        <f t="shared" ref="I19" si="3">SUM(I9:I18)</f>
        <v>2488769</v>
      </c>
    </row>
    <row r="20" spans="1:9" x14ac:dyDescent="0.35">
      <c r="A20" s="19" t="s">
        <v>54</v>
      </c>
      <c r="B20" s="65">
        <v>38719</v>
      </c>
      <c r="C20" s="67"/>
      <c r="D20" s="38">
        <f t="shared" si="2"/>
        <v>38719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/>
      <c r="H21" s="24"/>
      <c r="I21" s="38">
        <f>SUM(G21:H21)</f>
        <v>0</v>
      </c>
    </row>
    <row r="22" spans="1:9" x14ac:dyDescent="0.35">
      <c r="A22" s="19" t="s">
        <v>56</v>
      </c>
      <c r="B22" s="65"/>
      <c r="C22" s="24"/>
      <c r="D22" s="38">
        <f t="shared" si="2"/>
        <v>0</v>
      </c>
      <c r="E22" s="19"/>
      <c r="F22" s="19" t="s">
        <v>98</v>
      </c>
      <c r="G22" s="65">
        <v>811146</v>
      </c>
      <c r="H22" s="24"/>
      <c r="I22" s="38">
        <f t="shared" ref="I22:I30" si="4">SUM(G22:H22)</f>
        <v>811146</v>
      </c>
    </row>
    <row r="23" spans="1:9" x14ac:dyDescent="0.35">
      <c r="A23" s="19" t="s">
        <v>57</v>
      </c>
      <c r="B23" s="66">
        <v>62775</v>
      </c>
      <c r="C23" s="25"/>
      <c r="D23" s="39">
        <f t="shared" si="2"/>
        <v>62775</v>
      </c>
      <c r="E23" s="19"/>
      <c r="F23" s="19" t="s">
        <v>99</v>
      </c>
      <c r="G23" s="65"/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999369</v>
      </c>
      <c r="C24" s="57">
        <f>C20</f>
        <v>0</v>
      </c>
      <c r="D24" s="38">
        <f t="shared" ref="D24" si="5">D9+D10+D12+D13+D14+D16+D17+D18+D19+D20+D21+D22+D23</f>
        <v>999369</v>
      </c>
      <c r="E24" s="19"/>
      <c r="F24" s="19" t="s">
        <v>100</v>
      </c>
      <c r="G24" s="65"/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811146</v>
      </c>
      <c r="H31" s="24"/>
      <c r="I31" s="38">
        <f t="shared" ref="I31" si="6">SUM(I21:I30)</f>
        <v>811146</v>
      </c>
    </row>
    <row r="32" spans="1:9" x14ac:dyDescent="0.35">
      <c r="A32" s="19" t="s">
        <v>63</v>
      </c>
      <c r="B32" s="65"/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/>
      <c r="C33" s="80">
        <f>-1*(C45+C20)</f>
        <v>3126</v>
      </c>
      <c r="D33" s="38">
        <f t="shared" si="7"/>
        <v>3126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>
        <v>6723</v>
      </c>
      <c r="C34" s="24"/>
      <c r="D34" s="38">
        <f t="shared" si="7"/>
        <v>6723</v>
      </c>
      <c r="E34" s="19"/>
      <c r="F34" s="19" t="s">
        <v>172</v>
      </c>
      <c r="G34" s="65"/>
      <c r="H34" s="65"/>
      <c r="I34" s="38">
        <f t="shared" ref="I34:I35" si="8">SUM(G34:H34)</f>
        <v>0</v>
      </c>
    </row>
    <row r="35" spans="1:9" x14ac:dyDescent="0.35">
      <c r="A35" s="19" t="s">
        <v>68</v>
      </c>
      <c r="B35" s="65">
        <v>418090</v>
      </c>
      <c r="C35" s="24"/>
      <c r="D35" s="38">
        <f t="shared" si="7"/>
        <v>418090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0</v>
      </c>
      <c r="H36" s="38">
        <f t="shared" ref="H36:I36" si="9">SUM(H33:H35)</f>
        <v>0</v>
      </c>
      <c r="I36" s="38">
        <f t="shared" si="9"/>
        <v>0</v>
      </c>
    </row>
    <row r="37" spans="1:9" x14ac:dyDescent="0.35">
      <c r="A37" s="19" t="s">
        <v>70</v>
      </c>
      <c r="B37" s="38">
        <f>B28+B29+B31+B32+B33+B34+B35+B36</f>
        <v>424813</v>
      </c>
      <c r="C37" s="57">
        <f>C33</f>
        <v>3126</v>
      </c>
      <c r="D37" s="38">
        <f t="shared" ref="D37" si="10">D28+D29+D31+D32+D33+D34+D35+D36</f>
        <v>427939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35000</v>
      </c>
      <c r="H38" s="24"/>
      <c r="I38" s="38">
        <f>SUM(G38:H38)</f>
        <v>35000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/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17719333</v>
      </c>
      <c r="C40" s="65">
        <v>-37651</v>
      </c>
      <c r="D40" s="38">
        <f>SUM(B40:C40)</f>
        <v>17681682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>
        <v>177357</v>
      </c>
      <c r="C42" s="24"/>
      <c r="D42" s="38">
        <f t="shared" si="12"/>
        <v>177357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-14883809</v>
      </c>
      <c r="C44" s="66">
        <v>34525</v>
      </c>
      <c r="D44" s="39">
        <f t="shared" si="12"/>
        <v>-14849284</v>
      </c>
      <c r="E44" s="19"/>
      <c r="F44" s="19" t="s">
        <v>207</v>
      </c>
      <c r="G44" s="66">
        <v>1102148</v>
      </c>
      <c r="H44" s="83">
        <f>-1*H36</f>
        <v>0</v>
      </c>
      <c r="I44" s="39">
        <f t="shared" si="11"/>
        <v>1102148</v>
      </c>
    </row>
    <row r="45" spans="1:9" x14ac:dyDescent="0.35">
      <c r="A45" s="19" t="s">
        <v>76</v>
      </c>
      <c r="B45" s="38">
        <f>B40+B41+B42+B43+B44</f>
        <v>3012881</v>
      </c>
      <c r="C45" s="38">
        <f t="shared" ref="C45:D45" si="13">C40+C41+C42+C43+C44</f>
        <v>-3126</v>
      </c>
      <c r="D45" s="38">
        <f t="shared" si="13"/>
        <v>3009755</v>
      </c>
      <c r="E45" s="19"/>
      <c r="F45" s="19" t="s">
        <v>119</v>
      </c>
      <c r="G45" s="38">
        <f>SUM(G38:G44)</f>
        <v>1137148</v>
      </c>
      <c r="H45" s="56">
        <f t="shared" ref="H45:I45" si="14">SUM(H38:H44)</f>
        <v>0</v>
      </c>
      <c r="I45" s="38">
        <f t="shared" si="14"/>
        <v>1137148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4437063</v>
      </c>
      <c r="C47" s="40">
        <f t="shared" ref="C47:D47" si="15">C24+C37+C45</f>
        <v>0</v>
      </c>
      <c r="D47" s="40">
        <f t="shared" si="15"/>
        <v>4437063</v>
      </c>
      <c r="E47" s="19"/>
      <c r="F47" s="23" t="s">
        <v>120</v>
      </c>
      <c r="G47" s="40">
        <f>G19+G31+G36+G45</f>
        <v>4437063</v>
      </c>
      <c r="H47" s="40">
        <f t="shared" ref="H47:I47" si="16">H19+H31+H36+H45</f>
        <v>0</v>
      </c>
      <c r="I47" s="40">
        <f t="shared" si="16"/>
        <v>4437063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zoomScaleNormal="100" workbookViewId="0">
      <pane ySplit="8" topLeftCell="A9" activePane="bottomLeft" state="frozen"/>
      <selection pane="bottomLeft" activeCell="A3" sqref="A3"/>
    </sheetView>
  </sheetViews>
  <sheetFormatPr defaultRowHeight="14.5" x14ac:dyDescent="0.35"/>
  <cols>
    <col min="1" max="1" width="35.6328125" customWidth="1"/>
    <col min="2" max="3" width="13.90625" customWidth="1"/>
    <col min="4" max="4" width="5.90625" customWidth="1"/>
    <col min="5" max="5" width="45" bestFit="1" customWidth="1"/>
    <col min="6" max="7" width="13.90625" customWidth="1"/>
  </cols>
  <sheetData>
    <row r="2" spans="1:7" x14ac:dyDescent="0.35">
      <c r="A2" t="s">
        <v>226</v>
      </c>
    </row>
    <row r="3" spans="1:7" x14ac:dyDescent="0.35">
      <c r="A3" s="74" t="str">
        <f>+'PartABalance Sheet(PY)'!A3</f>
        <v>Kalama Telephone Company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695528</v>
      </c>
      <c r="C10" s="38">
        <f>'PartABalance Sheet(CY) '!D9</f>
        <v>598846</v>
      </c>
      <c r="D10" s="19"/>
      <c r="E10" s="19" t="s">
        <v>83</v>
      </c>
      <c r="F10" s="38">
        <f>'PartABalance Sheet(PY)'!I10</f>
        <v>31299</v>
      </c>
      <c r="G10" s="38">
        <f>'PartABalance Sheet(CY) '!I9</f>
        <v>178707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0</v>
      </c>
      <c r="C13" s="38">
        <f>'PartABalance Sheet(CY) '!D12</f>
        <v>0</v>
      </c>
      <c r="D13" s="19"/>
      <c r="E13" s="19" t="s">
        <v>88</v>
      </c>
      <c r="F13" s="38">
        <f>'PartABalance Sheet(PY)'!I13</f>
        <v>0</v>
      </c>
      <c r="G13" s="38">
        <f>'PartABalance Sheet(CY) '!I12</f>
        <v>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169800</v>
      </c>
      <c r="G14" s="38">
        <f>'PartABalance Sheet(CY) '!I13</f>
        <v>181200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36574</v>
      </c>
      <c r="C17" s="38">
        <f>'PartABalance Sheet(CY) '!D16</f>
        <v>31572</v>
      </c>
      <c r="D17" s="19"/>
      <c r="E17" s="19" t="s">
        <v>92</v>
      </c>
      <c r="F17" s="38">
        <f>'PartABalance Sheet(PY)'!I17</f>
        <v>0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195159</v>
      </c>
      <c r="C18" s="38">
        <f>'PartABalance Sheet(CY) '!D17</f>
        <v>267457</v>
      </c>
      <c r="D18" s="19"/>
      <c r="E18" s="19" t="s">
        <v>93</v>
      </c>
      <c r="F18" s="38">
        <f>'PartABalance Sheet(PY)'!I18</f>
        <v>15188</v>
      </c>
      <c r="G18" s="38">
        <f>'PartABalance Sheet(CY) '!I17</f>
        <v>16967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1777613</v>
      </c>
      <c r="G19" s="39">
        <f>'PartABalance Sheet(CY) '!I18</f>
        <v>2111895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1993900</v>
      </c>
      <c r="G20" s="41">
        <f>SUM(G10:G19)</f>
        <v>2488769</v>
      </c>
    </row>
    <row r="21" spans="1:7" x14ac:dyDescent="0.35">
      <c r="A21" s="19" t="s">
        <v>54</v>
      </c>
      <c r="B21" s="38">
        <f>'PartABalance Sheet(PY)'!D21</f>
        <v>64120</v>
      </c>
      <c r="C21" s="38">
        <f>'PartABalance Sheet(CY) '!D20</f>
        <v>38719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0</v>
      </c>
      <c r="G22" s="38">
        <f>'PartABalance Sheet(CY) '!I21</f>
        <v>0</v>
      </c>
    </row>
    <row r="23" spans="1:7" x14ac:dyDescent="0.35">
      <c r="A23" s="19" t="s">
        <v>56</v>
      </c>
      <c r="B23" s="38">
        <f>'PartABalance Sheet(PY)'!D23</f>
        <v>0</v>
      </c>
      <c r="C23" s="38">
        <f>'PartABalance Sheet(CY) '!D22</f>
        <v>0</v>
      </c>
      <c r="D23" s="19"/>
      <c r="E23" s="19" t="s">
        <v>98</v>
      </c>
      <c r="F23" s="38">
        <f>'PartABalance Sheet(PY)'!I23</f>
        <v>992670</v>
      </c>
      <c r="G23" s="38">
        <f>'PartABalance Sheet(CY) '!I22</f>
        <v>811146</v>
      </c>
    </row>
    <row r="24" spans="1:7" x14ac:dyDescent="0.35">
      <c r="A24" s="19" t="s">
        <v>57</v>
      </c>
      <c r="B24" s="39">
        <f>'PartABalance Sheet(PY)'!D24</f>
        <v>22144</v>
      </c>
      <c r="C24" s="39">
        <f>'PartABalance Sheet(CY) '!D23</f>
        <v>62775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1013525</v>
      </c>
      <c r="C25" s="38">
        <f>C10+C11+C13+C14+C15+C17+C18+C19+C20+C21+C22+C23+C24</f>
        <v>999369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992670</v>
      </c>
      <c r="G32" s="38">
        <f>SUM(G22:G31)</f>
        <v>811146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4224</v>
      </c>
      <c r="C34" s="38">
        <f>'PartABalance Sheet(CY) '!D33</f>
        <v>3126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8068</v>
      </c>
      <c r="C35" s="38">
        <f>'PartABalance Sheet(CY) '!D34</f>
        <v>6723</v>
      </c>
      <c r="D35" s="19"/>
      <c r="E35" s="19" t="s">
        <v>128</v>
      </c>
      <c r="F35" s="38">
        <f>'PartABalance Sheet(PY)'!I35</f>
        <v>0</v>
      </c>
      <c r="G35" s="38">
        <f>'PartABalance Sheet(CY) '!I34</f>
        <v>0</v>
      </c>
    </row>
    <row r="36" spans="1:7" x14ac:dyDescent="0.35">
      <c r="A36" s="19" t="s">
        <v>68</v>
      </c>
      <c r="B36" s="38">
        <f>'PartABalance Sheet(PY)'!D36</f>
        <v>340720</v>
      </c>
      <c r="C36" s="38">
        <f>'PartABalance Sheet(CY) '!D35</f>
        <v>418090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0</v>
      </c>
      <c r="G37" s="38">
        <f>SUM(G34:G36)</f>
        <v>0</v>
      </c>
    </row>
    <row r="38" spans="1:7" x14ac:dyDescent="0.35">
      <c r="A38" s="19" t="s">
        <v>70</v>
      </c>
      <c r="B38" s="38">
        <f>B29+B30+B32+B33+B34+B35+B36+B37</f>
        <v>353012</v>
      </c>
      <c r="C38" s="38">
        <f>C29+C30+C32+C33+C34+C35+C36+C37</f>
        <v>427939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35000</v>
      </c>
      <c r="G39" s="38">
        <f>'PartABalance Sheet(CY) '!I38</f>
        <v>35000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16451282</v>
      </c>
      <c r="C41" s="38">
        <f>'PartABalance Sheet(CY) '!D40</f>
        <v>17681682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389320</v>
      </c>
      <c r="C43" s="38">
        <f>'PartABalance Sheet(CY) '!D42</f>
        <v>177357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-13786057</v>
      </c>
      <c r="C45" s="39">
        <f>'PartABalance Sheet(CY) '!D44</f>
        <v>-14849284</v>
      </c>
      <c r="D45" s="19"/>
      <c r="E45" s="19" t="s">
        <v>118</v>
      </c>
      <c r="F45" s="39">
        <f>'PartABalance Sheet(PY)'!I45</f>
        <v>1399512</v>
      </c>
      <c r="G45" s="39">
        <f>'PartABalance Sheet(CY) '!I44</f>
        <v>1102148</v>
      </c>
    </row>
    <row r="46" spans="1:7" x14ac:dyDescent="0.35">
      <c r="A46" s="19" t="s">
        <v>76</v>
      </c>
      <c r="B46" s="38">
        <f>SUM(B41:B45)</f>
        <v>3054545</v>
      </c>
      <c r="C46" s="38">
        <f>SUM(C41:C45)</f>
        <v>3009755</v>
      </c>
      <c r="D46" s="19"/>
      <c r="E46" s="19" t="s">
        <v>119</v>
      </c>
      <c r="F46" s="38">
        <f>SUM(F39:F45)</f>
        <v>1434512</v>
      </c>
      <c r="G46" s="38">
        <f>SUM(G39:G45)</f>
        <v>1137148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4421082</v>
      </c>
      <c r="C48" s="40">
        <f>C25+C38+C46</f>
        <v>4437063</v>
      </c>
      <c r="D48" s="19"/>
      <c r="E48" s="23" t="s">
        <v>120</v>
      </c>
      <c r="F48" s="40">
        <f>F20+F32+F37+F46</f>
        <v>4421082</v>
      </c>
      <c r="G48" s="40">
        <f>G20+G32+G37+G46</f>
        <v>4437063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D14" sqref="D14"/>
    </sheetView>
  </sheetViews>
  <sheetFormatPr defaultRowHeight="14.5" x14ac:dyDescent="0.35"/>
  <cols>
    <col min="1" max="1" width="52.36328125" customWidth="1"/>
    <col min="2" max="2" width="6.36328125" customWidth="1"/>
    <col min="3" max="5" width="13.90625" customWidth="1"/>
  </cols>
  <sheetData>
    <row r="2" spans="1:5" x14ac:dyDescent="0.35">
      <c r="A2" t="s">
        <v>226</v>
      </c>
    </row>
    <row r="3" spans="1:5" x14ac:dyDescent="0.35">
      <c r="A3" s="74" t="str">
        <f>+'PartABalance Sheet(PY)'!A3</f>
        <v>Kalama Telephone Company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16451282</v>
      </c>
      <c r="D10" s="75">
        <f>'PartABalance Sheet (Summary)'!C41</f>
        <v>17681682</v>
      </c>
      <c r="E10" s="75">
        <f>(C10+D10)/2</f>
        <v>17066482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-13786057</v>
      </c>
      <c r="D12" s="75">
        <f>'PartABalance Sheet (Summary)'!C45</f>
        <v>-14849284</v>
      </c>
      <c r="E12" s="75">
        <f t="shared" ref="E12:E15" si="0">(C12+D12)/2</f>
        <v>-14317670.5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64120</v>
      </c>
      <c r="D13" s="75">
        <f>'PartABalance Sheet (Summary)'!C21</f>
        <v>38719</v>
      </c>
      <c r="E13" s="75">
        <f t="shared" si="0"/>
        <v>51419.5</v>
      </c>
    </row>
    <row r="14" spans="1:5" x14ac:dyDescent="0.35">
      <c r="A14" s="19" t="s">
        <v>144</v>
      </c>
      <c r="B14" s="19"/>
      <c r="C14" s="65">
        <v>339207</v>
      </c>
      <c r="D14" s="65">
        <v>416606</v>
      </c>
      <c r="E14" s="65">
        <f t="shared" si="0"/>
        <v>377906.5</v>
      </c>
    </row>
    <row r="15" spans="1:5" ht="15" thickBot="1" x14ac:dyDescent="0.4">
      <c r="A15" s="19" t="s">
        <v>213</v>
      </c>
      <c r="B15" s="19"/>
      <c r="C15" s="81">
        <f>SUM(C10:C14)</f>
        <v>3068552</v>
      </c>
      <c r="D15" s="81">
        <f>SUM(D10:D14)</f>
        <v>3287723</v>
      </c>
      <c r="E15" s="82">
        <f t="shared" si="0"/>
        <v>3178137.5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A3" sqref="A3"/>
    </sheetView>
  </sheetViews>
  <sheetFormatPr defaultRowHeight="14.5" x14ac:dyDescent="0.35"/>
  <cols>
    <col min="1" max="1" width="52.36328125" customWidth="1"/>
    <col min="2" max="4" width="13.90625" customWidth="1"/>
  </cols>
  <sheetData>
    <row r="2" spans="1:5" x14ac:dyDescent="0.35">
      <c r="A2" t="s">
        <v>226</v>
      </c>
    </row>
    <row r="3" spans="1:5" x14ac:dyDescent="0.35">
      <c r="A3" s="74" t="str">
        <f>+'PartABalance Sheet(PY)'!A3</f>
        <v>Kalama Telephone Company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1836</v>
      </c>
      <c r="C10" s="65">
        <v>1781</v>
      </c>
      <c r="D10" s="38">
        <f>C10-B10</f>
        <v>-55</v>
      </c>
      <c r="E10" s="44">
        <f>D10/B10</f>
        <v>-2.9956427015250545E-2</v>
      </c>
    </row>
    <row r="11" spans="1:5" x14ac:dyDescent="0.35">
      <c r="A11" s="19" t="s">
        <v>153</v>
      </c>
      <c r="B11" s="65">
        <f>467+30+2+3+116</f>
        <v>618</v>
      </c>
      <c r="C11" s="65">
        <f>69+418+44</f>
        <v>531</v>
      </c>
      <c r="D11" s="38">
        <f t="shared" ref="D11" si="0">C11-B11</f>
        <v>-87</v>
      </c>
      <c r="E11" s="44">
        <f t="shared" ref="E11:E12" si="1">D11/B11</f>
        <v>-0.14077669902912621</v>
      </c>
    </row>
    <row r="12" spans="1:5" ht="15" thickBot="1" x14ac:dyDescent="0.4">
      <c r="A12" s="19" t="s">
        <v>154</v>
      </c>
      <c r="B12" s="40">
        <f>SUM(B10:B11)</f>
        <v>2454</v>
      </c>
      <c r="C12" s="40">
        <f t="shared" ref="C12:D12" si="2">SUM(C10:C11)</f>
        <v>2312</v>
      </c>
      <c r="D12" s="40">
        <f t="shared" si="2"/>
        <v>-142</v>
      </c>
      <c r="E12" s="45">
        <f t="shared" si="1"/>
        <v>-5.7864710676446621E-2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1332</v>
      </c>
      <c r="C18" s="68">
        <v>1335</v>
      </c>
      <c r="D18" s="40">
        <f>C18-B18</f>
        <v>3</v>
      </c>
      <c r="E18" s="45">
        <f>D18/B18</f>
        <v>2.2522522522522522E-3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43"/>
      <c r="C24" s="43"/>
      <c r="D24" s="43"/>
      <c r="E24" s="15"/>
    </row>
    <row r="25" spans="1:5" ht="15" thickBot="1" x14ac:dyDescent="0.4">
      <c r="A25" s="19" t="s">
        <v>156</v>
      </c>
      <c r="B25" s="68">
        <f>598492+217977</f>
        <v>816469</v>
      </c>
      <c r="C25" s="68">
        <f>1228314-211963</f>
        <v>1016351</v>
      </c>
      <c r="D25" s="40">
        <f>C25-B25</f>
        <v>199882</v>
      </c>
      <c r="E25" s="45">
        <f>D25/B25</f>
        <v>0.24481272405933355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workbookViewId="0">
      <pane ySplit="10" topLeftCell="A11" activePane="bottomLeft" state="frozen"/>
      <selection pane="bottomLeft" activeCell="C11" sqref="C11"/>
    </sheetView>
  </sheetViews>
  <sheetFormatPr defaultRowHeight="14.5" x14ac:dyDescent="0.35"/>
  <cols>
    <col min="1" max="1" width="6.36328125" customWidth="1"/>
    <col min="2" max="2" width="65.08984375" customWidth="1"/>
    <col min="3" max="5" width="13.9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tr">
        <f>+'PartABalance Sheet(CY) '!A2</f>
        <v>Kalama Telephone Company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535101</v>
      </c>
      <c r="D11" s="33"/>
      <c r="E11" s="38">
        <f>SUM(C11:D11)</f>
        <v>535101</v>
      </c>
    </row>
    <row r="12" spans="1:5" x14ac:dyDescent="0.35">
      <c r="A12" s="11">
        <v>2</v>
      </c>
      <c r="B12" s="19" t="s">
        <v>5</v>
      </c>
      <c r="C12" s="65">
        <v>2521537</v>
      </c>
      <c r="D12" s="24"/>
      <c r="E12" s="38">
        <f t="shared" ref="E12:E16" si="0">SUM(C12:D12)</f>
        <v>2521537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21352</v>
      </c>
      <c r="D14" s="65"/>
      <c r="E14" s="38">
        <f t="shared" si="0"/>
        <v>21352</v>
      </c>
    </row>
    <row r="15" spans="1:5" x14ac:dyDescent="0.35">
      <c r="A15" s="11">
        <v>5</v>
      </c>
      <c r="B15" s="19" t="s">
        <v>8</v>
      </c>
      <c r="C15" s="65">
        <v>38789</v>
      </c>
      <c r="D15" s="65"/>
      <c r="E15" s="38">
        <f t="shared" si="0"/>
        <v>38789</v>
      </c>
    </row>
    <row r="16" spans="1:5" x14ac:dyDescent="0.35">
      <c r="A16" s="11">
        <v>6</v>
      </c>
      <c r="B16" s="19" t="s">
        <v>182</v>
      </c>
      <c r="C16" s="65">
        <v>-5138</v>
      </c>
      <c r="D16" s="65"/>
      <c r="E16" s="38">
        <f t="shared" si="0"/>
        <v>-5138</v>
      </c>
    </row>
    <row r="17" spans="1:6" x14ac:dyDescent="0.35">
      <c r="A17" s="11">
        <v>7</v>
      </c>
      <c r="B17" s="23" t="s">
        <v>181</v>
      </c>
      <c r="C17" s="46">
        <f>SUM(C11:C16)</f>
        <v>3111641</v>
      </c>
      <c r="D17" s="46">
        <f t="shared" ref="D17:E17" si="1">SUM(D11:D16)</f>
        <v>0</v>
      </c>
      <c r="E17" s="46">
        <f t="shared" si="1"/>
        <v>3111641</v>
      </c>
      <c r="F17" s="1"/>
    </row>
    <row r="18" spans="1:6" x14ac:dyDescent="0.35">
      <c r="A18" s="11">
        <v>8</v>
      </c>
      <c r="B18" s="19" t="s">
        <v>9</v>
      </c>
      <c r="C18" s="65">
        <v>1002328</v>
      </c>
      <c r="D18" s="65">
        <v>-7173</v>
      </c>
      <c r="E18" s="47">
        <f>SUM(C18:D18)</f>
        <v>995155</v>
      </c>
    </row>
    <row r="19" spans="1:6" x14ac:dyDescent="0.35">
      <c r="A19" s="11">
        <v>9</v>
      </c>
      <c r="B19" s="19" t="s">
        <v>44</v>
      </c>
      <c r="C19" s="65">
        <v>523443</v>
      </c>
      <c r="D19" s="65"/>
      <c r="E19" s="47">
        <f t="shared" ref="E19:E24" si="2">SUM(C19:D19)</f>
        <v>523443</v>
      </c>
    </row>
    <row r="20" spans="1:6" x14ac:dyDescent="0.35">
      <c r="A20" s="11">
        <v>10</v>
      </c>
      <c r="B20" s="19" t="s">
        <v>10</v>
      </c>
      <c r="C20" s="65">
        <v>993761</v>
      </c>
      <c r="D20" s="65">
        <v>-1628</v>
      </c>
      <c r="E20" s="47">
        <f t="shared" si="2"/>
        <v>992133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248315</v>
      </c>
      <c r="D22" s="65">
        <v>-3593</v>
      </c>
      <c r="E22" s="47">
        <f t="shared" si="2"/>
        <v>244722</v>
      </c>
    </row>
    <row r="23" spans="1:6" x14ac:dyDescent="0.35">
      <c r="A23" s="11">
        <v>13</v>
      </c>
      <c r="B23" s="19" t="s">
        <v>13</v>
      </c>
      <c r="C23" s="65">
        <v>596703</v>
      </c>
      <c r="D23" s="65">
        <v>-3168</v>
      </c>
      <c r="E23" s="47">
        <f t="shared" si="2"/>
        <v>593535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596703</v>
      </c>
      <c r="D25" s="38">
        <f t="shared" ref="D25:E25" si="3">SUM(D23:D24)</f>
        <v>-3168</v>
      </c>
      <c r="E25" s="47">
        <f t="shared" si="3"/>
        <v>593535</v>
      </c>
    </row>
    <row r="26" spans="1:6" x14ac:dyDescent="0.35">
      <c r="A26" s="11">
        <v>14</v>
      </c>
      <c r="B26" s="23" t="s">
        <v>180</v>
      </c>
      <c r="C26" s="46">
        <f>C18+C19+C20+C21+C22+C25</f>
        <v>3364550</v>
      </c>
      <c r="D26" s="46">
        <f t="shared" ref="D26:E26" si="4">D18+D19+D20+D21+D22+D25</f>
        <v>-15562</v>
      </c>
      <c r="E26" s="49">
        <f t="shared" si="4"/>
        <v>3348988</v>
      </c>
      <c r="F26" s="1"/>
    </row>
    <row r="27" spans="1:6" x14ac:dyDescent="0.35">
      <c r="A27" s="11">
        <v>15</v>
      </c>
      <c r="B27" s="19" t="s">
        <v>18</v>
      </c>
      <c r="C27" s="38">
        <f>C17-C26</f>
        <v>-252909</v>
      </c>
      <c r="D27" s="38">
        <f t="shared" ref="D27:E27" si="5">D17-D26</f>
        <v>15562</v>
      </c>
      <c r="E27" s="38">
        <f t="shared" si="5"/>
        <v>-237347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80887</v>
      </c>
      <c r="D29" s="65">
        <v>-149</v>
      </c>
      <c r="E29" s="38">
        <f t="shared" ref="E29:E31" si="6">SUM(C29:D29)</f>
        <v>80738</v>
      </c>
    </row>
    <row r="30" spans="1:6" x14ac:dyDescent="0.35">
      <c r="A30" s="11">
        <v>18</v>
      </c>
      <c r="B30" s="19" t="s">
        <v>216</v>
      </c>
      <c r="C30" s="65">
        <v>-140758</v>
      </c>
      <c r="D30" s="65">
        <f>2198+228</f>
        <v>2426</v>
      </c>
      <c r="E30" s="38">
        <f t="shared" si="6"/>
        <v>-138332</v>
      </c>
    </row>
    <row r="31" spans="1:6" x14ac:dyDescent="0.3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-59871</v>
      </c>
      <c r="D32" s="43">
        <f t="shared" ref="D32:E32" si="7">SUM(D29:D31)</f>
        <v>2277</v>
      </c>
      <c r="E32" s="50">
        <f t="shared" si="7"/>
        <v>-57594</v>
      </c>
    </row>
    <row r="33" spans="1:5" x14ac:dyDescent="0.35">
      <c r="A33" s="11">
        <v>21</v>
      </c>
      <c r="B33" s="19" t="s">
        <v>27</v>
      </c>
      <c r="C33" s="43">
        <f>C27+C28-C32</f>
        <v>-193038</v>
      </c>
      <c r="D33" s="43">
        <f>D27+D28-D32</f>
        <v>13285</v>
      </c>
      <c r="E33" s="50">
        <f>E27+E28-E32</f>
        <v>-179753</v>
      </c>
    </row>
    <row r="34" spans="1:5" x14ac:dyDescent="0.35">
      <c r="A34" s="11">
        <v>22</v>
      </c>
      <c r="B34" s="19" t="s">
        <v>19</v>
      </c>
      <c r="C34" s="65">
        <v>81040</v>
      </c>
      <c r="D34" s="24"/>
      <c r="E34" s="38">
        <f>SUM(C34:D34)</f>
        <v>81040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1345</v>
      </c>
      <c r="D36" s="24"/>
      <c r="E36" s="38">
        <f t="shared" si="8"/>
        <v>1345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82385</v>
      </c>
      <c r="D38" s="51">
        <f t="shared" ref="D38:E38" si="9">SUM(D34:D37)</f>
        <v>0</v>
      </c>
      <c r="E38" s="50">
        <f t="shared" si="9"/>
        <v>82385</v>
      </c>
    </row>
    <row r="39" spans="1:5" x14ac:dyDescent="0.35">
      <c r="A39" s="11">
        <v>27</v>
      </c>
      <c r="B39" s="19" t="s">
        <v>23</v>
      </c>
      <c r="C39" s="65">
        <v>11452</v>
      </c>
      <c r="D39" s="24"/>
      <c r="E39" s="38">
        <f>SUM(C39:D39)</f>
        <v>11452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f>38927-17129</f>
        <v>21798</v>
      </c>
      <c r="D42" s="75">
        <f>-1*D33</f>
        <v>-13285</v>
      </c>
      <c r="E42" s="38">
        <f t="shared" si="10"/>
        <v>8513</v>
      </c>
    </row>
    <row r="43" spans="1:5" x14ac:dyDescent="0.35">
      <c r="A43" s="11">
        <v>31</v>
      </c>
      <c r="B43" s="19" t="s">
        <v>26</v>
      </c>
      <c r="C43" s="43">
        <f>C33-C38+C39+C40+C41+C42</f>
        <v>-242173</v>
      </c>
      <c r="D43" s="43">
        <f t="shared" ref="D43:E43" si="11">D33-D38+D39+D40+D41+D42</f>
        <v>0</v>
      </c>
      <c r="E43" s="50">
        <f t="shared" si="11"/>
        <v>-242173</v>
      </c>
    </row>
    <row r="44" spans="1:5" x14ac:dyDescent="0.35">
      <c r="A44" s="11">
        <v>32</v>
      </c>
      <c r="B44" s="19" t="s">
        <v>28</v>
      </c>
      <c r="C44" s="65">
        <v>-29407</v>
      </c>
      <c r="D44" s="65">
        <v>2426</v>
      </c>
      <c r="E44" s="38">
        <f>SUM(C44:D44)</f>
        <v>-26981</v>
      </c>
    </row>
    <row r="45" spans="1:5" x14ac:dyDescent="0.35">
      <c r="A45" s="11">
        <v>33</v>
      </c>
      <c r="B45" s="19" t="s">
        <v>29</v>
      </c>
      <c r="C45" s="65">
        <v>1641685</v>
      </c>
      <c r="D45" s="24"/>
      <c r="E45" s="38">
        <f t="shared" ref="E45:E50" si="12">SUM(C45:D45)</f>
        <v>1641685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1399512</v>
      </c>
      <c r="D51" s="51">
        <f t="shared" ref="D51:E51" si="13">(D43+D45+D46)-(D47+D48+D49+D50)</f>
        <v>0</v>
      </c>
      <c r="E51" s="50">
        <f t="shared" si="13"/>
        <v>1399512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240483</v>
      </c>
      <c r="D56" s="24"/>
      <c r="E56" s="38">
        <f>C56</f>
        <v>240483</v>
      </c>
    </row>
    <row r="57" spans="1:5" x14ac:dyDescent="0.35">
      <c r="A57" s="11">
        <v>45</v>
      </c>
      <c r="B57" s="19" t="s">
        <v>40</v>
      </c>
      <c r="C57" s="58">
        <f>((C26+C32-C20-C21)/C17)</f>
        <v>0.74266857905523165</v>
      </c>
      <c r="D57" s="58" t="e">
        <f>((D26+D32-D20-D21)/D17)</f>
        <v>#DIV/0!</v>
      </c>
      <c r="E57" s="58">
        <f>((E26+E32-E20-E21)/E17)</f>
        <v>0.73892232426555637</v>
      </c>
    </row>
    <row r="58" spans="1:5" x14ac:dyDescent="0.35">
      <c r="A58" s="11">
        <v>46</v>
      </c>
      <c r="B58" s="19" t="s">
        <v>41</v>
      </c>
      <c r="C58" s="58">
        <f>((C26+C32+C38)/C17)</f>
        <v>1.0885137456409657</v>
      </c>
      <c r="D58" s="58" t="e">
        <f>((D26+D32+D38)/D17)</f>
        <v>#DIV/0!</v>
      </c>
      <c r="E58" s="58">
        <f>((E26+E32+E38)/E17)</f>
        <v>1.0842442942485975</v>
      </c>
    </row>
    <row r="59" spans="1:5" x14ac:dyDescent="0.35">
      <c r="A59" s="11">
        <v>47</v>
      </c>
      <c r="B59" s="19" t="s">
        <v>42</v>
      </c>
      <c r="C59" s="58">
        <f>((C43+C38)/C38)</f>
        <v>-1.9395278266674758</v>
      </c>
      <c r="D59" s="58" t="e">
        <f t="shared" ref="D59:E59" si="16">((D43+D38)/D38)</f>
        <v>#DIV/0!</v>
      </c>
      <c r="E59" s="58">
        <f t="shared" si="16"/>
        <v>-1.9395278266674758</v>
      </c>
    </row>
    <row r="60" spans="1:5" x14ac:dyDescent="0.35">
      <c r="A60" s="11">
        <v>48</v>
      </c>
      <c r="B60" s="19" t="s">
        <v>43</v>
      </c>
      <c r="C60" s="58">
        <f>(C43+C38+C20+C21)/C56</f>
        <v>3.4679083344768653</v>
      </c>
      <c r="D60" s="58" t="e">
        <f t="shared" ref="D60:E60" si="17">(D43+D38+D20+D21)/D56</f>
        <v>#DIV/0!</v>
      </c>
      <c r="E60" s="58">
        <f t="shared" si="17"/>
        <v>3.461138625183485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zoomScaleNormal="100" workbookViewId="0">
      <pane ySplit="10" topLeftCell="A11" activePane="bottomLeft" state="frozen"/>
      <selection pane="bottomLeft" activeCell="C45" sqref="C45"/>
    </sheetView>
  </sheetViews>
  <sheetFormatPr defaultRowHeight="14.5" x14ac:dyDescent="0.35"/>
  <cols>
    <col min="1" max="1" width="6.36328125" customWidth="1"/>
    <col min="2" max="2" width="65.08984375" customWidth="1"/>
    <col min="3" max="5" width="13.90625" customWidth="1"/>
  </cols>
  <sheetData>
    <row r="4" spans="1:5" x14ac:dyDescent="0.35">
      <c r="B4" t="s">
        <v>226</v>
      </c>
    </row>
    <row r="5" spans="1:5" x14ac:dyDescent="0.35">
      <c r="B5" s="74" t="str">
        <f>+'PartABalance Sheet(PY)'!A3</f>
        <v>Kalama Telephone Company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533443</v>
      </c>
      <c r="D11" s="33"/>
      <c r="E11" s="38">
        <f>SUM(C11:D11)</f>
        <v>533443</v>
      </c>
    </row>
    <row r="12" spans="1:5" x14ac:dyDescent="0.35">
      <c r="A12" s="11">
        <v>2</v>
      </c>
      <c r="B12" s="19" t="s">
        <v>5</v>
      </c>
      <c r="C12" s="65">
        <v>2456445</v>
      </c>
      <c r="D12" s="24"/>
      <c r="E12" s="38">
        <f t="shared" ref="E12:E16" si="0">SUM(C12:D12)</f>
        <v>2456445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>
        <v>13370</v>
      </c>
      <c r="D14" s="65"/>
      <c r="E14" s="38">
        <f t="shared" si="0"/>
        <v>13370</v>
      </c>
    </row>
    <row r="15" spans="1:5" x14ac:dyDescent="0.35">
      <c r="A15" s="11">
        <v>5</v>
      </c>
      <c r="B15" s="19" t="s">
        <v>8</v>
      </c>
      <c r="C15" s="65">
        <v>38077</v>
      </c>
      <c r="D15" s="65"/>
      <c r="E15" s="38">
        <f t="shared" si="0"/>
        <v>38077</v>
      </c>
    </row>
    <row r="16" spans="1:5" x14ac:dyDescent="0.35">
      <c r="A16" s="11">
        <v>6</v>
      </c>
      <c r="B16" s="19" t="s">
        <v>182</v>
      </c>
      <c r="C16" s="65">
        <v>-7870</v>
      </c>
      <c r="D16" s="65"/>
      <c r="E16" s="38">
        <f t="shared" si="0"/>
        <v>-7870</v>
      </c>
    </row>
    <row r="17" spans="1:6" x14ac:dyDescent="0.35">
      <c r="A17" s="11">
        <v>7</v>
      </c>
      <c r="B17" s="23" t="s">
        <v>181</v>
      </c>
      <c r="C17" s="46">
        <f>SUM(C11:C16)</f>
        <v>3033465</v>
      </c>
      <c r="D17" s="52">
        <f t="shared" ref="D17:E17" si="1">SUM(D11:D16)</f>
        <v>0</v>
      </c>
      <c r="E17" s="49">
        <f t="shared" si="1"/>
        <v>3033465</v>
      </c>
      <c r="F17" s="1"/>
    </row>
    <row r="18" spans="1:6" x14ac:dyDescent="0.35">
      <c r="A18" s="11">
        <v>8</v>
      </c>
      <c r="B18" s="19" t="s">
        <v>9</v>
      </c>
      <c r="C18" s="65">
        <v>986538</v>
      </c>
      <c r="D18" s="65">
        <v>-6683</v>
      </c>
      <c r="E18" s="47">
        <f>SUM(C18:D18)</f>
        <v>979855</v>
      </c>
    </row>
    <row r="19" spans="1:6" x14ac:dyDescent="0.35">
      <c r="A19" s="11">
        <v>9</v>
      </c>
      <c r="B19" s="19" t="s">
        <v>44</v>
      </c>
      <c r="C19" s="65">
        <v>508301</v>
      </c>
      <c r="D19" s="65"/>
      <c r="E19" s="47">
        <f t="shared" ref="E19:E24" si="2">SUM(C19:D19)</f>
        <v>508301</v>
      </c>
    </row>
    <row r="20" spans="1:6" x14ac:dyDescent="0.35">
      <c r="A20" s="11">
        <v>10</v>
      </c>
      <c r="B20" s="19" t="s">
        <v>10</v>
      </c>
      <c r="C20" s="65">
        <v>1064182</v>
      </c>
      <c r="D20" s="65">
        <v>-632</v>
      </c>
      <c r="E20" s="47">
        <f t="shared" si="2"/>
        <v>1063550</v>
      </c>
    </row>
    <row r="21" spans="1:6" x14ac:dyDescent="0.35">
      <c r="A21" s="11">
        <v>11</v>
      </c>
      <c r="B21" s="19" t="s">
        <v>11</v>
      </c>
      <c r="C21" s="65"/>
      <c r="D21" s="65"/>
      <c r="E21" s="47">
        <f t="shared" si="2"/>
        <v>0</v>
      </c>
    </row>
    <row r="22" spans="1:6" x14ac:dyDescent="0.35">
      <c r="A22" s="11">
        <v>12</v>
      </c>
      <c r="B22" s="19" t="s">
        <v>12</v>
      </c>
      <c r="C22" s="65">
        <v>235441</v>
      </c>
      <c r="D22" s="65">
        <v>-3434</v>
      </c>
      <c r="E22" s="47">
        <f t="shared" si="2"/>
        <v>232007</v>
      </c>
    </row>
    <row r="23" spans="1:6" x14ac:dyDescent="0.35">
      <c r="A23" s="11">
        <v>13</v>
      </c>
      <c r="B23" s="19" t="s">
        <v>13</v>
      </c>
      <c r="C23" s="65">
        <v>588548</v>
      </c>
      <c r="D23" s="65">
        <v>-4927</v>
      </c>
      <c r="E23" s="47">
        <f t="shared" si="2"/>
        <v>583621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588548</v>
      </c>
      <c r="D25" s="38">
        <f t="shared" ref="D25:E25" si="3">SUM(D23:D24)</f>
        <v>-4927</v>
      </c>
      <c r="E25" s="47">
        <f t="shared" si="3"/>
        <v>583621</v>
      </c>
    </row>
    <row r="26" spans="1:6" x14ac:dyDescent="0.35">
      <c r="A26" s="11">
        <v>14</v>
      </c>
      <c r="B26" s="23" t="s">
        <v>180</v>
      </c>
      <c r="C26" s="46">
        <f>C18+C19+C20+C21+C22+C25</f>
        <v>3383010</v>
      </c>
      <c r="D26" s="46">
        <f t="shared" ref="D26:E26" si="4">D18+D19+D20+D21+D22+D25</f>
        <v>-15676</v>
      </c>
      <c r="E26" s="49">
        <f t="shared" si="4"/>
        <v>3367334</v>
      </c>
      <c r="F26" s="1"/>
    </row>
    <row r="27" spans="1:6" x14ac:dyDescent="0.35">
      <c r="A27" s="11">
        <v>15</v>
      </c>
      <c r="B27" s="19" t="s">
        <v>18</v>
      </c>
      <c r="C27" s="38">
        <f>C17-C26</f>
        <v>-349545</v>
      </c>
      <c r="D27" s="38">
        <f t="shared" ref="D27:E27" si="5">D17-D26</f>
        <v>15676</v>
      </c>
      <c r="E27" s="47">
        <f t="shared" si="5"/>
        <v>-333869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88330</v>
      </c>
      <c r="D29" s="65">
        <v>-147</v>
      </c>
      <c r="E29" s="47">
        <f t="shared" ref="E29:E31" si="6">SUM(C29:D29)</f>
        <v>88183</v>
      </c>
    </row>
    <row r="30" spans="1:6" x14ac:dyDescent="0.35">
      <c r="A30" s="11">
        <v>18</v>
      </c>
      <c r="B30" s="19" t="s">
        <v>216</v>
      </c>
      <c r="C30" s="65">
        <v>-171154</v>
      </c>
      <c r="D30" s="65">
        <f>6181+165</f>
        <v>6346</v>
      </c>
      <c r="E30" s="47">
        <f t="shared" si="6"/>
        <v>-164808</v>
      </c>
    </row>
    <row r="31" spans="1:6" x14ac:dyDescent="0.3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-82824</v>
      </c>
      <c r="D32" s="43">
        <f t="shared" ref="D32:E32" si="7">SUM(D29:D31)</f>
        <v>6199</v>
      </c>
      <c r="E32" s="50">
        <f t="shared" si="7"/>
        <v>-76625</v>
      </c>
    </row>
    <row r="33" spans="1:5" x14ac:dyDescent="0.35">
      <c r="A33" s="11">
        <v>21</v>
      </c>
      <c r="B33" s="19" t="s">
        <v>27</v>
      </c>
      <c r="C33" s="43">
        <f>C27+C28-C32</f>
        <v>-266721</v>
      </c>
      <c r="D33" s="43">
        <f>D27+D28-D32</f>
        <v>9477</v>
      </c>
      <c r="E33" s="50">
        <f>E27+E28-E32</f>
        <v>-257244</v>
      </c>
    </row>
    <row r="34" spans="1:5" x14ac:dyDescent="0.35">
      <c r="A34" s="11">
        <v>22</v>
      </c>
      <c r="B34" s="19" t="s">
        <v>19</v>
      </c>
      <c r="C34" s="65">
        <v>70359</v>
      </c>
      <c r="D34" s="53"/>
      <c r="E34" s="47">
        <f>SUM(C34:D34)</f>
        <v>70359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1345</v>
      </c>
      <c r="D36" s="53"/>
      <c r="E36" s="47">
        <f t="shared" si="8"/>
        <v>1345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71704</v>
      </c>
      <c r="D38" s="51">
        <f t="shared" ref="D38:E38" si="9">SUM(D34:D37)</f>
        <v>0</v>
      </c>
      <c r="E38" s="50">
        <f t="shared" si="9"/>
        <v>71704</v>
      </c>
    </row>
    <row r="39" spans="1:5" x14ac:dyDescent="0.35">
      <c r="A39" s="11">
        <v>27</v>
      </c>
      <c r="B39" s="19" t="s">
        <v>23</v>
      </c>
      <c r="C39" s="65">
        <v>5514</v>
      </c>
      <c r="D39" s="53"/>
      <c r="E39" s="54">
        <f>SUM(C39:D39)</f>
        <v>5514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f>56700-21153</f>
        <v>35547</v>
      </c>
      <c r="D42" s="78">
        <f>-1*D33</f>
        <v>-9477</v>
      </c>
      <c r="E42" s="54">
        <f t="shared" si="10"/>
        <v>26070</v>
      </c>
    </row>
    <row r="43" spans="1:5" x14ac:dyDescent="0.35">
      <c r="A43" s="11">
        <v>31</v>
      </c>
      <c r="B43" s="19" t="s">
        <v>26</v>
      </c>
      <c r="C43" s="43">
        <f>C33-C38+C39+C40+C41+C42</f>
        <v>-297364</v>
      </c>
      <c r="D43" s="43">
        <f t="shared" ref="D43:E43" si="11">D33-D38+D39+D40+D41+D42</f>
        <v>0</v>
      </c>
      <c r="E43" s="50">
        <f t="shared" si="11"/>
        <v>-297364</v>
      </c>
    </row>
    <row r="44" spans="1:5" x14ac:dyDescent="0.35">
      <c r="A44" s="11">
        <v>32</v>
      </c>
      <c r="B44" s="19" t="s">
        <v>28</v>
      </c>
      <c r="C44" s="65">
        <v>-72631</v>
      </c>
      <c r="D44" s="65">
        <v>6346</v>
      </c>
      <c r="E44" s="54">
        <f>SUM(C44:D44)</f>
        <v>-66285</v>
      </c>
    </row>
    <row r="45" spans="1:5" x14ac:dyDescent="0.35">
      <c r="A45" s="11">
        <v>33</v>
      </c>
      <c r="B45" s="19" t="s">
        <v>29</v>
      </c>
      <c r="C45" s="65">
        <v>1399512</v>
      </c>
      <c r="D45" s="53"/>
      <c r="E45" s="54">
        <f t="shared" ref="E45:E50" si="12">SUM(C45:D45)</f>
        <v>1399512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1102148</v>
      </c>
      <c r="D51" s="51">
        <f t="shared" ref="D51:E51" si="13">(D43+D45+D46)-(D47+D48+D49+D50)</f>
        <v>0</v>
      </c>
      <c r="E51" s="50">
        <f t="shared" si="13"/>
        <v>1102148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240483</v>
      </c>
      <c r="D56" s="53"/>
      <c r="E56" s="47">
        <f>C56</f>
        <v>240483</v>
      </c>
    </row>
    <row r="57" spans="1:5" x14ac:dyDescent="0.35">
      <c r="A57" s="11">
        <v>45</v>
      </c>
      <c r="B57" s="19" t="s">
        <v>40</v>
      </c>
      <c r="C57" s="61">
        <f>((C26+C32-C20-C21)/C17)</f>
        <v>0.73711218029547065</v>
      </c>
      <c r="D57" s="61" t="e">
        <f>((D26+D32-D20-D21)/D17)</f>
        <v>#DIV/0!</v>
      </c>
      <c r="E57" s="61">
        <f>((E26+E32-E20-E21)/E17)</f>
        <v>0.73419637279480721</v>
      </c>
    </row>
    <row r="58" spans="1:5" x14ac:dyDescent="0.35">
      <c r="A58" s="11">
        <v>46</v>
      </c>
      <c r="B58" s="19" t="s">
        <v>41</v>
      </c>
      <c r="C58" s="61">
        <f>((C26+C32+C38)/C17)</f>
        <v>1.1115638387124955</v>
      </c>
      <c r="D58" s="61" t="e">
        <f>((D26+D32+D38)/D17)</f>
        <v>#DIV/0!</v>
      </c>
      <c r="E58" s="61">
        <f>((E26+E32+E38)/E17)</f>
        <v>1.1084396886069232</v>
      </c>
    </row>
    <row r="59" spans="1:5" x14ac:dyDescent="0.35">
      <c r="A59" s="11">
        <v>47</v>
      </c>
      <c r="B59" s="19" t="s">
        <v>42</v>
      </c>
      <c r="C59" s="61">
        <f>((C43+C38)/C38)</f>
        <v>-3.1471047640299008</v>
      </c>
      <c r="D59" s="61" t="e">
        <f t="shared" ref="D59:E59" si="16">((D43+D38)/D38)</f>
        <v>#DIV/0!</v>
      </c>
      <c r="E59" s="61">
        <f t="shared" si="16"/>
        <v>-3.1471047640299008</v>
      </c>
    </row>
    <row r="60" spans="1:5" x14ac:dyDescent="0.35">
      <c r="A60" s="11">
        <v>48</v>
      </c>
      <c r="B60" s="19" t="s">
        <v>43</v>
      </c>
      <c r="C60" s="61">
        <f>(C43+C38+C20+C21)/C56</f>
        <v>3.4868244324962681</v>
      </c>
      <c r="D60" s="61" t="e">
        <f t="shared" ref="D60:E60" si="17">(D43+D38+D20+D21)/D56</f>
        <v>#DIV/0!</v>
      </c>
      <c r="E60" s="61">
        <f t="shared" si="17"/>
        <v>3.4841963881022777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4.5" x14ac:dyDescent="0.35"/>
  <cols>
    <col min="1" max="1" width="6.36328125" customWidth="1"/>
    <col min="2" max="2" width="65.08984375" customWidth="1"/>
    <col min="3" max="4" width="13.90625" customWidth="1"/>
  </cols>
  <sheetData>
    <row r="4" spans="1:4" x14ac:dyDescent="0.35">
      <c r="B4" t="s">
        <v>196</v>
      </c>
    </row>
    <row r="5" spans="1:4" x14ac:dyDescent="0.35">
      <c r="B5" s="74" t="str">
        <f>+'PartABalance Sheet(PY)'!A3</f>
        <v>Kalama Telephone Company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535101</v>
      </c>
      <c r="D11" s="47">
        <f>'PartBIncomeStmt(CY) '!E11</f>
        <v>533443</v>
      </c>
    </row>
    <row r="12" spans="1:4" x14ac:dyDescent="0.35">
      <c r="A12" s="11">
        <v>2</v>
      </c>
      <c r="B12" s="19" t="s">
        <v>5</v>
      </c>
      <c r="C12" s="38">
        <f>'PartBIncomeStmt(PY)'!E12</f>
        <v>2521537</v>
      </c>
      <c r="D12" s="47">
        <f>'PartBIncomeStmt(CY) '!E12</f>
        <v>2456445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21352</v>
      </c>
      <c r="D14" s="47">
        <f>'PartBIncomeStmt(CY) '!E14</f>
        <v>13370</v>
      </c>
    </row>
    <row r="15" spans="1:4" x14ac:dyDescent="0.35">
      <c r="A15" s="11">
        <v>5</v>
      </c>
      <c r="B15" s="19" t="s">
        <v>8</v>
      </c>
      <c r="C15" s="38">
        <f>'PartBIncomeStmt(PY)'!E15</f>
        <v>38789</v>
      </c>
      <c r="D15" s="47">
        <f>'PartBIncomeStmt(CY) '!E15</f>
        <v>38077</v>
      </c>
    </row>
    <row r="16" spans="1:4" x14ac:dyDescent="0.35">
      <c r="A16" s="11">
        <v>6</v>
      </c>
      <c r="B16" s="19" t="s">
        <v>182</v>
      </c>
      <c r="C16" s="38">
        <f>'PartBIncomeStmt(PY)'!E16</f>
        <v>-5138</v>
      </c>
      <c r="D16" s="47">
        <f>'PartBIncomeStmt(CY) '!E16</f>
        <v>-7870</v>
      </c>
    </row>
    <row r="17" spans="1:5" x14ac:dyDescent="0.35">
      <c r="A17" s="11">
        <v>7</v>
      </c>
      <c r="B17" s="23" t="s">
        <v>181</v>
      </c>
      <c r="C17" s="46">
        <f>SUM(C11:C16)</f>
        <v>3111641</v>
      </c>
      <c r="D17" s="49">
        <f t="shared" ref="D17" si="0">SUM(D11:D16)</f>
        <v>3033465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995155</v>
      </c>
      <c r="D18" s="47">
        <f>'PartBIncomeStmt(CY) '!E18</f>
        <v>979855</v>
      </c>
    </row>
    <row r="19" spans="1:5" x14ac:dyDescent="0.35">
      <c r="A19" s="11">
        <v>9</v>
      </c>
      <c r="B19" s="19" t="s">
        <v>44</v>
      </c>
      <c r="C19" s="38">
        <f>'PartBIncomeStmt(PY)'!E19</f>
        <v>523443</v>
      </c>
      <c r="D19" s="47">
        <f>'PartBIncomeStmt(CY) '!E19</f>
        <v>508301</v>
      </c>
    </row>
    <row r="20" spans="1:5" x14ac:dyDescent="0.35">
      <c r="A20" s="11">
        <v>10</v>
      </c>
      <c r="B20" s="19" t="s">
        <v>10</v>
      </c>
      <c r="C20" s="38">
        <f>'PartBIncomeStmt(PY)'!E20</f>
        <v>992133</v>
      </c>
      <c r="D20" s="47">
        <f>'PartBIncomeStmt(CY) '!E20</f>
        <v>1063550</v>
      </c>
    </row>
    <row r="21" spans="1:5" x14ac:dyDescent="0.35">
      <c r="A21" s="11">
        <v>11</v>
      </c>
      <c r="B21" s="19" t="s">
        <v>11</v>
      </c>
      <c r="C21" s="38">
        <f>'PartBIncomeStmt(PY)'!E21</f>
        <v>0</v>
      </c>
      <c r="D21" s="47">
        <f>'PartBIncomeStmt(CY) '!E21</f>
        <v>0</v>
      </c>
    </row>
    <row r="22" spans="1:5" x14ac:dyDescent="0.35">
      <c r="A22" s="11">
        <v>12</v>
      </c>
      <c r="B22" s="19" t="s">
        <v>12</v>
      </c>
      <c r="C22" s="38">
        <f>'PartBIncomeStmt(PY)'!E22</f>
        <v>244722</v>
      </c>
      <c r="D22" s="47">
        <f>'PartBIncomeStmt(CY) '!E22</f>
        <v>232007</v>
      </c>
    </row>
    <row r="23" spans="1:5" x14ac:dyDescent="0.35">
      <c r="A23" s="11">
        <v>13</v>
      </c>
      <c r="B23" s="19" t="s">
        <v>13</v>
      </c>
      <c r="C23" s="38">
        <f>'PartBIncomeStmt(PY)'!E23</f>
        <v>593535</v>
      </c>
      <c r="D23" s="47">
        <f>'PartBIncomeStmt(CY) '!E23</f>
        <v>583621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593535</v>
      </c>
      <c r="D25" s="47">
        <f t="shared" ref="D25" si="1">SUM(D23:D24)</f>
        <v>583621</v>
      </c>
    </row>
    <row r="26" spans="1:5" x14ac:dyDescent="0.35">
      <c r="A26" s="11">
        <v>14</v>
      </c>
      <c r="B26" s="23" t="s">
        <v>180</v>
      </c>
      <c r="C26" s="46">
        <f>C18+C19+C20+C21+C22+C25</f>
        <v>3348988</v>
      </c>
      <c r="D26" s="49">
        <f t="shared" ref="D26" si="2">D18+D19+D20+D21+D22+D25</f>
        <v>3367334</v>
      </c>
      <c r="E26" s="1"/>
    </row>
    <row r="27" spans="1:5" x14ac:dyDescent="0.35">
      <c r="A27" s="11">
        <v>15</v>
      </c>
      <c r="B27" s="19" t="s">
        <v>18</v>
      </c>
      <c r="C27" s="38">
        <f>C17-C26</f>
        <v>-237347</v>
      </c>
      <c r="D27" s="47">
        <f t="shared" ref="D27" si="3">D17-D26</f>
        <v>-333869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80738</v>
      </c>
      <c r="D29" s="47">
        <f>'PartBIncomeStmt(CY) '!E29</f>
        <v>88183</v>
      </c>
    </row>
    <row r="30" spans="1:5" x14ac:dyDescent="0.35">
      <c r="A30" s="11">
        <v>18</v>
      </c>
      <c r="B30" s="19" t="s">
        <v>15</v>
      </c>
      <c r="C30" s="38">
        <f>'PartBIncomeStmt(PY)'!E30</f>
        <v>-138332</v>
      </c>
      <c r="D30" s="47">
        <f>'PartBIncomeStmt(CY) '!E30</f>
        <v>-164808</v>
      </c>
    </row>
    <row r="31" spans="1:5" x14ac:dyDescent="0.3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35">
      <c r="A32" s="11">
        <v>20</v>
      </c>
      <c r="B32" s="19" t="s">
        <v>16</v>
      </c>
      <c r="C32" s="43">
        <f>SUM(C29:C31)</f>
        <v>-57594</v>
      </c>
      <c r="D32" s="50">
        <f t="shared" ref="D32" si="4">SUM(D29:D31)</f>
        <v>-76625</v>
      </c>
    </row>
    <row r="33" spans="1:4" x14ac:dyDescent="0.35">
      <c r="A33" s="11">
        <v>21</v>
      </c>
      <c r="B33" s="19" t="s">
        <v>27</v>
      </c>
      <c r="C33" s="43">
        <f>C27+C28-C32</f>
        <v>-179753</v>
      </c>
      <c r="D33" s="50">
        <f>D27+D28-D32</f>
        <v>-257244</v>
      </c>
    </row>
    <row r="34" spans="1:4" x14ac:dyDescent="0.35">
      <c r="A34" s="11">
        <v>22</v>
      </c>
      <c r="B34" s="19" t="s">
        <v>19</v>
      </c>
      <c r="C34" s="38">
        <f>'PartBIncomeStmt(PY)'!E34</f>
        <v>81040</v>
      </c>
      <c r="D34" s="47">
        <f>'PartBIncomeStmt(CY) '!E34</f>
        <v>70359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1345</v>
      </c>
      <c r="D36" s="47">
        <f>'PartBIncomeStmt(CY) '!E36</f>
        <v>1345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82385</v>
      </c>
      <c r="D38" s="50">
        <f t="shared" ref="D38" si="5">SUM(D34:D37)</f>
        <v>71704</v>
      </c>
    </row>
    <row r="39" spans="1:4" x14ac:dyDescent="0.35">
      <c r="A39" s="11">
        <v>27</v>
      </c>
      <c r="B39" s="19" t="s">
        <v>23</v>
      </c>
      <c r="C39" s="38">
        <f>'PartBIncomeStmt(PY)'!E39</f>
        <v>11452</v>
      </c>
      <c r="D39" s="47">
        <f>'PartBIncomeStmt(CY) '!E39</f>
        <v>5514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8513</v>
      </c>
      <c r="D42" s="47">
        <f>'PartBIncomeStmt(CY) '!E42</f>
        <v>26070</v>
      </c>
    </row>
    <row r="43" spans="1:4" x14ac:dyDescent="0.35">
      <c r="A43" s="11">
        <v>31</v>
      </c>
      <c r="B43" s="19" t="s">
        <v>26</v>
      </c>
      <c r="C43" s="43">
        <f>C33-C38+C39+C40+C41+C42</f>
        <v>-242173</v>
      </c>
      <c r="D43" s="50">
        <f t="shared" ref="D43" si="6">D33-D38+D39+D40+D41+D42</f>
        <v>-297364</v>
      </c>
    </row>
    <row r="44" spans="1:4" x14ac:dyDescent="0.35">
      <c r="A44" s="11">
        <v>32</v>
      </c>
      <c r="B44" s="19" t="s">
        <v>28</v>
      </c>
      <c r="C44" s="38">
        <f>'PartBIncomeStmt(PY)'!E44</f>
        <v>-26981</v>
      </c>
      <c r="D44" s="47">
        <f>'PartBIncomeStmt(CY) '!E44</f>
        <v>-66285</v>
      </c>
    </row>
    <row r="45" spans="1:4" x14ac:dyDescent="0.35">
      <c r="A45" s="11">
        <v>33</v>
      </c>
      <c r="B45" s="19" t="s">
        <v>29</v>
      </c>
      <c r="C45" s="38">
        <f>'PartBIncomeStmt(PY)'!E45</f>
        <v>1641685</v>
      </c>
      <c r="D45" s="47">
        <f>'PartBIncomeStmt(CY) '!E45</f>
        <v>1399512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1399512</v>
      </c>
      <c r="D51" s="50">
        <f t="shared" ref="D51" si="7">(D43+D45+D46)-(D47+D48+D49+D50)</f>
        <v>1102148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240483</v>
      </c>
      <c r="D56" s="47">
        <f>'PartBIncomeStmt(CY) '!E56</f>
        <v>240483</v>
      </c>
    </row>
    <row r="57" spans="1:4" x14ac:dyDescent="0.35">
      <c r="A57" s="11">
        <v>45</v>
      </c>
      <c r="B57" s="19" t="s">
        <v>40</v>
      </c>
      <c r="C57" s="61">
        <f>((C26+C32-C20-C21)/C17)</f>
        <v>0.73892232426555637</v>
      </c>
      <c r="D57" s="61">
        <f>((D26+D32-D20-D21)/D17)</f>
        <v>0.73419637279480721</v>
      </c>
    </row>
    <row r="58" spans="1:4" x14ac:dyDescent="0.35">
      <c r="A58" s="11">
        <v>46</v>
      </c>
      <c r="B58" s="19" t="s">
        <v>41</v>
      </c>
      <c r="C58" s="61">
        <f>((C26+C32+C38)/C17)</f>
        <v>1.0842442942485975</v>
      </c>
      <c r="D58" s="61">
        <f>((D26+D32+D38)/D17)</f>
        <v>1.1084396886069232</v>
      </c>
    </row>
    <row r="59" spans="1:4" x14ac:dyDescent="0.35">
      <c r="A59" s="11">
        <v>47</v>
      </c>
      <c r="B59" s="19" t="s">
        <v>42</v>
      </c>
      <c r="C59" s="61">
        <f>((C43+C38)/C38)</f>
        <v>-1.9395278266674758</v>
      </c>
      <c r="D59" s="61">
        <f t="shared" ref="D59" si="9">((D43+D38)/D38)</f>
        <v>-3.1471047640299008</v>
      </c>
    </row>
    <row r="60" spans="1:4" x14ac:dyDescent="0.35">
      <c r="A60" s="11">
        <v>48</v>
      </c>
      <c r="B60" s="19" t="s">
        <v>43</v>
      </c>
      <c r="C60" s="55">
        <f>(C43+C38+C20+C21)/C56</f>
        <v>3.461138625183485</v>
      </c>
      <c r="D60" s="61">
        <f t="shared" ref="D60" si="10">(D43+D38+D20+D21)/D56</f>
        <v>3.4841963881022777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zoomScaleNormal="100" workbookViewId="0">
      <selection activeCell="D17" sqref="D17"/>
    </sheetView>
  </sheetViews>
  <sheetFormatPr defaultRowHeight="14.5" x14ac:dyDescent="0.35"/>
  <cols>
    <col min="1" max="1" width="36.54296875" bestFit="1" customWidth="1"/>
    <col min="3" max="4" width="13.90625" customWidth="1"/>
  </cols>
  <sheetData>
    <row r="3" spans="1:4" x14ac:dyDescent="0.35">
      <c r="A3" t="s">
        <v>226</v>
      </c>
    </row>
    <row r="4" spans="1:4" x14ac:dyDescent="0.35">
      <c r="A4" s="74" t="str">
        <f>+'PartABalance Sheet(PY)'!A3</f>
        <v>Kalama Telephone Company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280910</v>
      </c>
      <c r="D10" s="72">
        <f>217498+1932+73143</f>
        <v>292573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f>68023+127001+63047</f>
        <v>258071</v>
      </c>
      <c r="D12" s="72">
        <f>70498+92030+23497</f>
        <v>186025</v>
      </c>
    </row>
    <row r="13" spans="1:4" x14ac:dyDescent="0.35">
      <c r="A13" s="19" t="s">
        <v>192</v>
      </c>
      <c r="B13" s="11"/>
      <c r="C13" s="65">
        <f>650751+494492.25+443154-12-C17</f>
        <v>275519.25</v>
      </c>
      <c r="D13" s="72">
        <f>604597+365171+408945+378-D17</f>
        <v>60546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11066</v>
      </c>
      <c r="D15" s="72">
        <v>10354</v>
      </c>
    </row>
    <row r="16" spans="1:4" x14ac:dyDescent="0.35">
      <c r="A16" s="19" t="s">
        <v>192</v>
      </c>
      <c r="B16" s="11"/>
      <c r="C16" s="65">
        <v>383105</v>
      </c>
      <c r="D16" s="72">
        <v>588402</v>
      </c>
    </row>
    <row r="17" spans="1:4" x14ac:dyDescent="0.35">
      <c r="A17" s="19" t="s">
        <v>227</v>
      </c>
      <c r="B17" s="12" t="s">
        <v>194</v>
      </c>
      <c r="C17" s="66">
        <v>1312866</v>
      </c>
      <c r="D17" s="73">
        <v>1318545</v>
      </c>
    </row>
    <row r="18" spans="1:4" x14ac:dyDescent="0.35">
      <c r="A18" s="19" t="s">
        <v>195</v>
      </c>
      <c r="B18" s="7"/>
      <c r="C18" s="41">
        <f>C10+C12+C13+C15+C16+C17</f>
        <v>2521537.25</v>
      </c>
      <c r="D18" s="41">
        <f>D10+D12+D13+D15+D16+D17</f>
        <v>2456445</v>
      </c>
    </row>
    <row r="19" spans="1:4" x14ac:dyDescent="0.35">
      <c r="A19" s="20" t="s">
        <v>205</v>
      </c>
      <c r="B19" s="19"/>
      <c r="C19" s="43">
        <f>'PartBIncomeStmt(PY)'!E12</f>
        <v>2521537</v>
      </c>
      <c r="D19" s="43">
        <f>'PartBIncomeStmt(CY) '!E12</f>
        <v>2456445</v>
      </c>
    </row>
    <row r="20" spans="1:4" ht="15" thickBot="1" x14ac:dyDescent="0.4">
      <c r="A20" s="63" t="s">
        <v>163</v>
      </c>
      <c r="B20" s="21"/>
      <c r="C20" s="62">
        <f>C18-C19</f>
        <v>0.25</v>
      </c>
      <c r="D20" s="40">
        <f>D18-D19</f>
        <v>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A93FFF86AB604486794F9AFD9E67ED" ma:contentTypeVersion="175" ma:contentTypeDescription="" ma:contentTypeScope="" ma:versionID="e00073ef6369590582f25ee34b799e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2014-08-01T07:00:00+00:00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Kalama Telephone Company</CaseCompanyNames>
    <DocketNumber xmlns="dc463f71-b30c-4ab2-9473-d307f9d35888">143033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35E563A-BA1A-4AAB-854B-2CD51CC86F62}"/>
</file>

<file path=customXml/itemProps2.xml><?xml version="1.0" encoding="utf-8"?>
<ds:datastoreItem xmlns:ds="http://schemas.openxmlformats.org/officeDocument/2006/customXml" ds:itemID="{3F9D1FFA-3CA2-4A7F-ADCA-EBB2E77BB9EE}"/>
</file>

<file path=customXml/itemProps3.xml><?xml version="1.0" encoding="utf-8"?>
<ds:datastoreItem xmlns:ds="http://schemas.openxmlformats.org/officeDocument/2006/customXml" ds:itemID="{156121A1-5ECA-413E-AF6B-0D14ECD1F31A}"/>
</file>

<file path=customXml/itemProps4.xml><?xml version="1.0" encoding="utf-8"?>
<ds:datastoreItem xmlns:ds="http://schemas.openxmlformats.org/officeDocument/2006/customXml" ds:itemID="{FBCBB83D-F444-4060-A664-CA73ADABD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2014-07-21T17:12:28Z</cp:lastPrinted>
  <dcterms:created xsi:type="dcterms:W3CDTF">2014-05-21T17:51:51Z</dcterms:created>
  <dcterms:modified xsi:type="dcterms:W3CDTF">2014-08-04T21:51:24Z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0x0101006E56B4D1795A2E4DB2F0B01679ED314A00D1A93FFF86AB604486794F9AFD9E67ED</vt:lpwstr>
  </property>
  <property fmtid="{D5CDD505-2E9C-101B-9397-08002B2CF9AE}" pid="3" name="_docset_NoMedatataSyncRequired">
    <vt:lpwstr>False</vt:lpwstr>
  </property>
</Properties>
</file>